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27F6A37F-A3A6-4B21-878C-71FA334E67BA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0" i="4" l="1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<sst xmlns="http://schemas.openxmlformats.org/spreadsheetml/2006/main" count="11878" uniqueCount="3850">
  <si>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</si>
  <si>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</si>
  <si>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</si>
  <si>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</si>
  <si>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</si>
  <si>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</si>
  <si>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</si>
  <si>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</si>
  <si>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</si>
  <si>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</si>
  <si>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</si>
  <si>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</si>
  <si>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</si>
  <si>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</si>
  <si>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</si>
  <si>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</si>
  <si>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</si>
  <si>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</si>
  <si>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</si>
  <si>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</si>
  <si>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</si>
  <si>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</si>
  <si>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</si>
  <si>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</si>
  <si>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</si>
  <si>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</si>
  <si>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</si>
  <si>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</si>
  <si>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</si>
  <si>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</si>
  <si>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</si>
  <si>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</si>
  <si>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</si>
  <si>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</si>
  <si>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</si>
  <si>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</si>
  <si>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</si>
  <si>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</si>
  <si>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</si>
  <si>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</si>
  <si>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</si>
  <si>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</si>
  <si>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</si>
  <si>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</si>
  <si>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</si>
  <si>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</si>
  <si>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</si>
  <si>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</si>
  <si>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</si>
  <si>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</si>
  <si>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</si>
  <si>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</si>
  <si>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</si>
  <si>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</si>
  <si>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</si>
  <si>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</si>
  <si>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</si>
  <si>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</si>
  <si>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</si>
  <si>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</si>
  <si>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</si>
  <si>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</si>
  <si>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</si>
  <si>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</si>
  <si>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</si>
  <si>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</si>
  <si>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</si>
  <si>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</si>
  <si>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</si>
  <si>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</si>
  <si>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</si>
  <si>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</si>
  <si>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</si>
  <si>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</si>
  <si>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</si>
  <si>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</si>
  <si>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</si>
  <si>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</si>
  <si>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</si>
  <si>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</si>
  <si>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</si>
  <si>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</si>
  <si>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</si>
  <si>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</si>
  <si>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</si>
  <si>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</si>
  <si>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</si>
  <si>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</si>
  <si>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</si>
  <si>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</si>
  <si>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</si>
  <si>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</si>
  <si>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</si>
  <si>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</si>
  <si>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</si>
  <si>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</si>
  <si>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</si>
  <si>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</si>
  <si>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</si>
  <si>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</si>
  <si>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</si>
  <si>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</si>
  <si>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</si>
  <si>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</si>
  <si>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</si>
  <si>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</si>
  <si>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</si>
  <si>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</si>
  <si>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</si>
  <si>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</si>
  <si>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</si>
  <si>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</si>
  <si>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</si>
  <si>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</si>
  <si>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</si>
  <si>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</si>
  <si>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</si>
  <si>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</si>
  <si>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</si>
  <si>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</si>
  <si>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</si>
  <si>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</si>
  <si>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</si>
  <si>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</si>
  <si>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</si>
  <si>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</si>
  <si>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</si>
  <si>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</si>
  <si>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</si>
  <si>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</si>
  <si>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</si>
  <si>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</si>
  <si>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</si>
  <si>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</si>
  <si>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</si>
  <si>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</si>
  <si>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</si>
  <si>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</si>
  <si>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</si>
  <si>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</si>
  <si>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</si>
  <si>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</si>
  <si>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</si>
  <si>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</si>
  <si>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</si>
  <si>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</si>
  <si>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</si>
  <si>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</si>
  <si>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</si>
  <si>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</si>
  <si>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</si>
  <si>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</si>
  <si>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</si>
  <si>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</si>
  <si>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</si>
  <si>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</si>
  <si>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</si>
  <si>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</si>
  <si>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</si>
  <si>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</si>
  <si>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</si>
  <si>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</si>
  <si>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</si>
  <si>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</si>
  <si>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</si>
  <si>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</si>
  <si>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</si>
  <si>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</si>
  <si>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</si>
  <si>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</si>
  <si>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</si>
  <si>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</si>
  <si>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</si>
  <si>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</si>
  <si>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</si>
  <si>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</si>
  <si>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</si>
  <si>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</si>
  <si>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</si>
  <si>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</si>
  <si>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</si>
  <si>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</si>
  <si>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</si>
  <si>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</si>
  <si>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</si>
  <si>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</si>
  <si>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</si>
  <si>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</si>
  <si>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</si>
  <si>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</si>
  <si>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</si>
  <si>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</si>
  <si>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</si>
  <si>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</si>
  <si>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</si>
  <si>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</si>
  <si>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</si>
  <si>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</si>
  <si>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</si>
  <si>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</si>
  <si>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</si>
  <si>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</si>
  <si>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</si>
  <si>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</si>
  <si>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</si>
  <si>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</si>
  <si>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</si>
  <si>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</si>
  <si>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</si>
  <si>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</si>
  <si>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</si>
  <si>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</si>
  <si>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</si>
  <si>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</si>
  <si>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</si>
  <si>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</si>
  <si>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</si>
  <si>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</si>
  <si>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</si>
  <si>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</si>
  <si>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</si>
  <si>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</si>
  <si>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</si>
  <si>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</si>
  <si>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</si>
  <si>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</si>
  <si>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</si>
  <si>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</si>
  <si>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</si>
  <si>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</si>
  <si>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</si>
  <si>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</si>
  <si>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</si>
  <si>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</si>
  <si>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</si>
  <si>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</si>
  <si>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</si>
  <si>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</si>
  <si>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</si>
  <si>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</si>
  <si>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</si>
  <si>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</si>
  <si>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</si>
  <si>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</si>
  <si>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</si>
  <si>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</si>
  <si>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</si>
  <si>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</si>
  <si>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</si>
  <si>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</si>
  <si>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</si>
  <si>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</si>
  <si>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</si>
  <si>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</si>
  <si>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</si>
  <si>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</si>
  <si>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</si>
  <si>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</si>
  <si>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</si>
  <si>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</si>
  <si>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</si>
  <si>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</si>
  <si>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</si>
  <si>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</si>
  <si>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</si>
  <si>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</si>
  <si>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</si>
  <si>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</si>
  <si>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</si>
  <si>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</si>
  <si>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</si>
  <si>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</si>
  <si>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</si>
  <si>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</si>
  <si>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</si>
  <si>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</si>
  <si>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</si>
  <si>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</si>
  <si>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</si>
  <si>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</si>
  <si>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</si>
  <si>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</si>
  <si>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</si>
  <si>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</si>
  <si>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</si>
  <si>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</si>
  <si>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</si>
  <si>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</si>
  <si>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</si>
  <si>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</si>
  <si>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</si>
  <si>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</si>
  <si>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</si>
  <si>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</si>
  <si>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</si>
  <si>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</si>
  <si>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</si>
  <si>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</si>
  <si>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</si>
  <si>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</si>
  <si>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</si>
  <si>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</si>
  <si>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</si>
  <si>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</si>
  <si>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</si>
  <si>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</si>
  <si>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</si>
  <si>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</si>
  <si>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</si>
  <si>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</si>
  <si>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</si>
  <si>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</si>
  <si>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</si>
  <si>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</si>
  <si>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</si>
  <si>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</si>
  <si>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</si>
  <si>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</si>
  <si>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</si>
  <si>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</si>
  <si>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</si>
  <si>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</si>
  <si>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</si>
  <si>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</si>
  <si>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</si>
  <si>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</si>
  <si>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</si>
  <si>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</si>
  <si>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</si>
  <si>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</si>
  <si>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</si>
  <si>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</si>
  <si>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</si>
  <si>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</si>
  <si>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</si>
  <si>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</si>
  <si>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</si>
  <si>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</si>
  <si>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</si>
  <si>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</si>
  <si>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</si>
  <si>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</si>
  <si>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</si>
  <si>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</si>
  <si>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</si>
  <si>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</si>
  <si>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</si>
  <si>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</si>
  <si>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</si>
  <si>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</si>
  <si>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</si>
  <si>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</si>
  <si>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</si>
  <si>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</si>
  <si>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</si>
  <si>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</si>
  <si>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</si>
  <si>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</si>
  <si>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</si>
  <si>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</si>
  <si>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</si>
  <si>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</si>
  <si>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</si>
  <si>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</si>
  <si>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</si>
  <si>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</si>
  <si>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</si>
  <si>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</si>
  <si>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</si>
  <si>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</si>
  <si>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</si>
  <si>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</si>
  <si>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</si>
  <si>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</si>
  <si>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</si>
  <si>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</si>
  <si>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</si>
  <si>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</si>
  <si>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</si>
  <si>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</si>
  <si>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</si>
  <si>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</si>
  <si>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</si>
  <si>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</si>
  <si>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</si>
  <si>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</si>
  <si>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</si>
  <si>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</si>
  <si>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</si>
  <si>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</si>
  <si>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</si>
  <si>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</si>
  <si>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</si>
  <si>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</si>
  <si>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</si>
  <si>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</si>
  <si>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</si>
  <si>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</si>
  <si>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</si>
  <si>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</si>
  <si>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</si>
  <si>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</si>
  <si>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</si>
  <si>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</si>
  <si>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</si>
  <si>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</si>
  <si>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</si>
  <si>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</si>
  <si>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</si>
  <si>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</si>
  <si>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</si>
  <si>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</si>
  <si>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</si>
  <si>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</si>
  <si>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</si>
  <si>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</si>
  <si>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</si>
  <si>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</si>
  <si>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</si>
  <si>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</si>
  <si>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</si>
  <si>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</si>
  <si>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</si>
  <si>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</si>
  <si>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</si>
  <si>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</si>
  <si>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</si>
  <si>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</si>
  <si>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</si>
  <si>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</si>
  <si>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</si>
  <si>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</si>
  <si>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</si>
  <si>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</si>
  <si>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</si>
  <si>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</si>
  <si>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</si>
  <si>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</si>
  <si>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</si>
  <si>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</si>
  <si>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</si>
  <si>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</si>
  <si>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</si>
  <si>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</si>
  <si>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</si>
  <si>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</si>
  <si>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</si>
  <si>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</si>
  <si>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</si>
  <si>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</si>
  <si>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</si>
  <si>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</si>
  <si>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</si>
  <si>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</si>
  <si>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</si>
  <si>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</si>
  <si>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</si>
  <si>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</si>
  <si>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</si>
  <si>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</si>
  <si>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</si>
  <si>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</si>
  <si>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</si>
  <si>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</si>
  <si>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</si>
  <si>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</si>
  <si>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</si>
  <si>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</si>
  <si>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</si>
  <si>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</si>
  <si>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</si>
  <si>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</si>
  <si>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</si>
  <si>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</si>
  <si>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</si>
  <si>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</si>
  <si>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</si>
  <si>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</si>
  <si>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</si>
  <si>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</si>
  <si>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</si>
  <si>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</si>
  <si>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</si>
  <si>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</si>
  <si>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</si>
  <si>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</si>
  <si>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</si>
  <si>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</si>
  <si>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</si>
  <si>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</si>
  <si>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</si>
  <si>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</si>
  <si>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</si>
  <si>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</si>
  <si>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</si>
  <si>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</si>
  <si>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</si>
  <si>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</si>
  <si>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</si>
  <si>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</si>
  <si>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</si>
  <si>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</si>
  <si>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</si>
  <si>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</si>
  <si>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</si>
  <si>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</si>
  <si>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</si>
  <si>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</si>
  <si>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</si>
  <si>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</si>
  <si>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</si>
  <si>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</si>
  <si>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</si>
  <si>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</si>
  <si>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</si>
  <si>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</si>
  <si>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Wiedlisbach</t>
  </si>
  <si>
    <t>Adresse</t>
  </si>
  <si>
    <t>nein / non</t>
  </si>
  <si>
    <t>14</t>
  </si>
  <si>
    <t>Hauptstrasse</t>
  </si>
  <si>
    <t>EGRID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</si>
  <si>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</si>
  <si>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</si>
  <si>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</si>
  <si>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</si>
  <si>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</si>
  <si>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</si>
  <si>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</si>
  <si>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</si>
  <si>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</si>
  <si>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</si>
  <si>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</si>
  <si>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</si>
  <si>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</si>
  <si>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Schopf</t>
  </si>
  <si>
    <t>Garage</t>
  </si>
  <si>
    <t>20a</t>
  </si>
  <si>
    <t>1d</t>
  </si>
  <si>
    <t>23a</t>
  </si>
  <si>
    <t>50a</t>
  </si>
  <si>
    <t>2a</t>
  </si>
  <si>
    <t>1a</t>
  </si>
  <si>
    <t>17a</t>
  </si>
  <si>
    <t>Gümligen</t>
  </si>
  <si>
    <t>Eigenacker</t>
  </si>
  <si>
    <t>40</t>
  </si>
  <si>
    <t>CH473532994649</t>
  </si>
  <si>
    <t>223</t>
  </si>
  <si>
    <t>Hof</t>
  </si>
  <si>
    <t>5</t>
  </si>
  <si>
    <t>2</t>
  </si>
  <si>
    <t>ja / oui</t>
  </si>
  <si>
    <t>50</t>
  </si>
  <si>
    <t>CH850546323501</t>
  </si>
  <si>
    <t>684</t>
  </si>
  <si>
    <t>CH843546320083</t>
  </si>
  <si>
    <t>3036</t>
  </si>
  <si>
    <t>Weinstegen</t>
  </si>
  <si>
    <t>Kleindietwil</t>
  </si>
  <si>
    <t>CH364746355393</t>
  </si>
  <si>
    <t>416</t>
  </si>
  <si>
    <t>CH213587464772</t>
  </si>
  <si>
    <t>167</t>
  </si>
  <si>
    <t>Zibelegässli</t>
  </si>
  <si>
    <t>Kornhausplatz</t>
  </si>
  <si>
    <t>CH727646463565</t>
  </si>
  <si>
    <t>460</t>
  </si>
  <si>
    <t>Murzelenfeldweg</t>
  </si>
  <si>
    <t>Murzelen</t>
  </si>
  <si>
    <t>766</t>
  </si>
  <si>
    <t>CH728004463544</t>
  </si>
  <si>
    <t>Bernstrasse</t>
  </si>
  <si>
    <t>1</t>
  </si>
  <si>
    <t>unterirdisches_Gebäude</t>
  </si>
  <si>
    <t>15</t>
  </si>
  <si>
    <t>10</t>
  </si>
  <si>
    <t>Lindenhofstrasse</t>
  </si>
  <si>
    <t>CH701235974647</t>
  </si>
  <si>
    <t>8253</t>
  </si>
  <si>
    <t>CH821237463594</t>
  </si>
  <si>
    <t>8696</t>
  </si>
  <si>
    <t>60</t>
  </si>
  <si>
    <t>Kanalstrasse</t>
  </si>
  <si>
    <t>CH834633359277</t>
  </si>
  <si>
    <t>1069</t>
  </si>
  <si>
    <t>CH803435114665</t>
  </si>
  <si>
    <t>675</t>
  </si>
  <si>
    <t>Bahnhofstrasse</t>
  </si>
  <si>
    <t>Bahnhof Oberburg</t>
  </si>
  <si>
    <t>CH728014463551</t>
  </si>
  <si>
    <t>3854</t>
  </si>
  <si>
    <t>CH543546810830</t>
  </si>
  <si>
    <t>656</t>
  </si>
  <si>
    <t>Riedstrasse</t>
  </si>
  <si>
    <t>Rüdtligen</t>
  </si>
  <si>
    <t>128</t>
  </si>
  <si>
    <t>Unterstand</t>
  </si>
  <si>
    <t>CH634686356187</t>
  </si>
  <si>
    <t>1097</t>
  </si>
  <si>
    <t>Autounterstand</t>
  </si>
  <si>
    <t>Gartenhaus</t>
  </si>
  <si>
    <t>Grassiweg</t>
  </si>
  <si>
    <t>CH656046173584</t>
  </si>
  <si>
    <t>Campingwagen blau</t>
  </si>
  <si>
    <t>Campingwagen braun</t>
  </si>
  <si>
    <t>Campingwagen eisblau</t>
  </si>
  <si>
    <t>692</t>
  </si>
  <si>
    <t>Campingwagen gelb</t>
  </si>
  <si>
    <t>Campingwagen grau</t>
  </si>
  <si>
    <t>Campingwagen grün</t>
  </si>
  <si>
    <t>Campingwagen hellblau</t>
  </si>
  <si>
    <t>Campingwagen olivgrün</t>
  </si>
  <si>
    <t>Campingwagen pink</t>
  </si>
  <si>
    <t>Campingwagen rosarot</t>
  </si>
  <si>
    <t>Campingwagen rot</t>
  </si>
  <si>
    <t>Campingwagen schwarz</t>
  </si>
  <si>
    <t>Campingwagen sonnengelb</t>
  </si>
  <si>
    <t>Campingwagen türkis</t>
  </si>
  <si>
    <t>Campingwagen violette</t>
  </si>
  <si>
    <t>Campingwagen weiss</t>
  </si>
  <si>
    <t>Bönigen b. Interlaken</t>
  </si>
  <si>
    <t>CH361146350051</t>
  </si>
  <si>
    <t>456</t>
  </si>
  <si>
    <t>3</t>
  </si>
  <si>
    <t>CH750146103515</t>
  </si>
  <si>
    <t>276</t>
  </si>
  <si>
    <t>CH773511034636</t>
  </si>
  <si>
    <t>605</t>
  </si>
  <si>
    <t>Pletschen</t>
  </si>
  <si>
    <t>Horboden</t>
  </si>
  <si>
    <t>3206</t>
  </si>
  <si>
    <t>CH736473369436</t>
  </si>
  <si>
    <t>Holzmatt</t>
  </si>
  <si>
    <t>655</t>
  </si>
  <si>
    <t>1470</t>
  </si>
  <si>
    <t>CH580446352879</t>
  </si>
  <si>
    <t>184</t>
  </si>
  <si>
    <t>Link</t>
  </si>
  <si>
    <t>Obsolete in GWR</t>
  </si>
  <si>
    <t>2624156.250 1225700.500</t>
  </si>
  <si>
    <t>2626719.000 1221649.000</t>
  </si>
  <si>
    <t>2629222.750 1221776.500</t>
  </si>
  <si>
    <t>2604661.000 1196671.000</t>
  </si>
  <si>
    <t>2593955.897 1202101.205</t>
  </si>
  <si>
    <t>Several possible AV footprins for one GWR building</t>
  </si>
  <si>
    <t>2611500.000 1214243.000</t>
  </si>
  <si>
    <t>2604471.000 1210752.000</t>
  </si>
  <si>
    <t>2620301.000 1166670.000</t>
  </si>
  <si>
    <t>2616342.811 1161422.344</t>
  </si>
  <si>
    <t>2615745.681 1159203.521</t>
  </si>
  <si>
    <t>2615746.329 1159203.762</t>
  </si>
  <si>
    <t>2616065.000 1159435.000</t>
  </si>
  <si>
    <t>2615666.000 1159633.000</t>
  </si>
  <si>
    <t>2613723.000 1156457.000</t>
  </si>
  <si>
    <t>2616402.000 1158594.000</t>
  </si>
  <si>
    <t>2611388.713 1152940.951</t>
  </si>
  <si>
    <t>2615924.866 1159547.804</t>
  </si>
  <si>
    <t>2615667.852 1158190.814</t>
  </si>
  <si>
    <t>2612435.746 1154409.915</t>
  </si>
  <si>
    <t>2615860.867 1160047.803</t>
  </si>
  <si>
    <t>2616612.000 1157710.000</t>
  </si>
  <si>
    <t>2612945.774 1157009.876</t>
  </si>
  <si>
    <t>2615965.000 1159659.000</t>
  </si>
  <si>
    <t>2616065.873 1160292.797</t>
  </si>
  <si>
    <t>2617136.000 1160587.000</t>
  </si>
  <si>
    <t>2616420.874 1158894.796</t>
  </si>
  <si>
    <t>2616057.100 1159351.900</t>
  </si>
  <si>
    <t>2616815.300 1159003.000</t>
  </si>
  <si>
    <t>2615745.000 1159190.000</t>
  </si>
  <si>
    <t>2616418.000 1160572.000</t>
  </si>
  <si>
    <t>2613698.000 1156744.000</t>
  </si>
  <si>
    <t>2612532.000 1156123.000</t>
  </si>
  <si>
    <t>2615985.500 1159442.625</t>
  </si>
  <si>
    <t>2615881.480 1159779.016</t>
  </si>
  <si>
    <t>2616456.877 1159231.793</t>
  </si>
  <si>
    <t>2616256.000 1145187.000</t>
  </si>
  <si>
    <t>2621937.000 1164769.000</t>
  </si>
  <si>
    <t>2621528.990 1159301.000</t>
  </si>
  <si>
    <t>2625809.000 1157455.000</t>
  </si>
  <si>
    <t>2623456.000 1155570.000</t>
  </si>
  <si>
    <t>2623687.000 1153242.000</t>
  </si>
  <si>
    <t>2621782.000 1159116.000</t>
  </si>
  <si>
    <t>2620665.000 1158796.000</t>
  </si>
  <si>
    <t>2621916.000 1164374.000</t>
  </si>
  <si>
    <t>2624353.000 1156170.000</t>
  </si>
  <si>
    <t>2620730.000 1159657.000</t>
  </si>
  <si>
    <t>2625344.000 1153608.000</t>
  </si>
  <si>
    <t>2620675.000 1158742.000</t>
  </si>
  <si>
    <t>2623453.000 1155567.000</t>
  </si>
  <si>
    <t>2625806.000 1157448.000</t>
  </si>
  <si>
    <t>2621920.000 1164376.000</t>
  </si>
  <si>
    <t>2624355.000 1156169.000</t>
  </si>
  <si>
    <t>2618444.000 1164379.000</t>
  </si>
  <si>
    <t>2625340.000 1153605.000</t>
  </si>
  <si>
    <t>2620662.000 1158800.000</t>
  </si>
  <si>
    <t>2617063.000 1164514.000</t>
  </si>
  <si>
    <t>2621517.000 1159297.000</t>
  </si>
  <si>
    <t>2622684.000 1157212.000</t>
  </si>
  <si>
    <t>2622685.000 1157211.000</t>
  </si>
  <si>
    <t>2620733.000 1159656.000</t>
  </si>
  <si>
    <t>2624842.000 1155724.000</t>
  </si>
  <si>
    <t>2622213.000 1157994.000</t>
  </si>
  <si>
    <t>2623685.000 1153239.000</t>
  </si>
  <si>
    <t>2620610.000 1164270.000</t>
  </si>
  <si>
    <t>2618684.000 1163827.000</t>
  </si>
  <si>
    <t>2624713.000 1155188.000</t>
  </si>
  <si>
    <t>2624695.000 1155198.000</t>
  </si>
  <si>
    <t>2624685.000 1155193.000</t>
  </si>
  <si>
    <t>2624680.000 1155211.000</t>
  </si>
  <si>
    <t>2619659.000 1164617.000</t>
  </si>
  <si>
    <t>2620226.000 1163087.000</t>
  </si>
  <si>
    <t>2618082.000 1161825.000</t>
  </si>
  <si>
    <t>2618544.000 1163463.000</t>
  </si>
  <si>
    <t>2618894.000 1161955.000</t>
  </si>
  <si>
    <t>2622263.000 1160516.000</t>
  </si>
  <si>
    <t>2623664.000 1153222.000</t>
  </si>
  <si>
    <t>2623711.000 1153238.000</t>
  </si>
  <si>
    <t>2621818.000 1159785.000</t>
  </si>
  <si>
    <t>2645710.000 1174383.000</t>
  </si>
  <si>
    <t>2611122.000 1191811.000</t>
  </si>
  <si>
    <t>2619059.000 1197002.000</t>
  </si>
  <si>
    <t>2612061.000 1185444.000</t>
  </si>
  <si>
    <t>2608857.000 1195365.000</t>
  </si>
  <si>
    <t>2607907.121 1197430.985</t>
  </si>
  <si>
    <t>2589041.214 1216734.414</t>
  </si>
  <si>
    <t>2602754.000 1160764.000</t>
  </si>
  <si>
    <t>2602745.000 1160762.000</t>
  </si>
  <si>
    <t>2600481.340 1144597.440</t>
  </si>
  <si>
    <t>2586873.000 1138934.900</t>
  </si>
  <si>
    <t>2622462.021 1202087.601</t>
  </si>
  <si>
    <t>2630621.000 1196933.000</t>
  </si>
  <si>
    <t>2614674.014 1181569.899</t>
  </si>
  <si>
    <t>2614941.000 1181387.000</t>
  </si>
  <si>
    <t>2615357.000 1180820.000</t>
  </si>
  <si>
    <t>2615010.000 1181015.000</t>
  </si>
  <si>
    <t>2614080.000 1179320.000</t>
  </si>
  <si>
    <t>2613489.216 1181119.150</t>
  </si>
  <si>
    <t>2631762.000 1213611.000</t>
  </si>
  <si>
    <t>2631762.000 1213576.000</t>
  </si>
  <si>
    <t>2630653.425 1218178.940</t>
  </si>
  <si>
    <t>2630664.204 1218169.997</t>
  </si>
  <si>
    <t>2620011.750 1205277.750</t>
  </si>
  <si>
    <t>2620574.000 1208137.000</t>
  </si>
  <si>
    <t>2618499.750 1206696.500</t>
  </si>
  <si>
    <t>2612438.291 1233753.125</t>
  </si>
  <si>
    <t>2612449.500 1233764.333</t>
  </si>
  <si>
    <t>2589031.013 1214425.386</t>
  </si>
  <si>
    <t>Linked, building is temporary</t>
  </si>
  <si>
    <t>2589385.926 1213871.737</t>
  </si>
  <si>
    <t>2624774.889 1222162.929</t>
  </si>
  <si>
    <t>2623553.724 1220073.723</t>
  </si>
  <si>
    <t>2628148.636 1234385.569</t>
  </si>
  <si>
    <t>2597963.181 1199174.605</t>
  </si>
  <si>
    <t>2594882.986 1199757.462</t>
  </si>
  <si>
    <t>2598132.909 1202412.066</t>
  </si>
  <si>
    <t>2598151.755 1202414.043</t>
  </si>
  <si>
    <t>2598141.274 1202412.936</t>
  </si>
  <si>
    <t>2598147.537 1202413.593</t>
  </si>
  <si>
    <t>2605711.508 1197848.700</t>
  </si>
  <si>
    <t>2609148.667 1200442.886</t>
  </si>
  <si>
    <t>2595323.360 1204081.232</t>
  </si>
  <si>
    <t>2602941.319 1204373.447</t>
  </si>
  <si>
    <t>2602923.861 1204252.538</t>
  </si>
  <si>
    <t>2602545.019 1202123.475</t>
  </si>
  <si>
    <t>2606553.813 1207546.002</t>
  </si>
  <si>
    <t>2613409.565 1219917.780</t>
  </si>
  <si>
    <t>2617121.080 1147165.583</t>
  </si>
  <si>
    <t>2632205.349 1168608.079</t>
  </si>
  <si>
    <t>2614076.763 1197321.739</t>
  </si>
  <si>
    <t>2608706.327 1185875.546</t>
  </si>
  <si>
    <t>2624078.248 1196031.254</t>
  </si>
  <si>
    <t>2621795.087 1179693.966</t>
  </si>
  <si>
    <t>2630901.586 1206061.446</t>
  </si>
  <si>
    <t>2630902.241 1206115.632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</si>
  <si>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</si>
  <si>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</si>
  <si>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</si>
  <si>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</si>
  <si>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190980393 verknüpft, aber die Kategorie ist '1010 provisorische Unterkunft'</t>
  </si>
  <si>
    <t>43: Gebäude 191466410 verknüpft, aber die Kategorie ist '1010 provisorische Unterkunft'</t>
  </si>
  <si>
    <t>43: Gebäude 191528193 verknüpft, aber die Kategorie ist '1010 provisorische Unterkunft'</t>
  </si>
  <si>
    <t>43: Gebäude 191470471 verknüpft, aber die Kategorie ist '1010 provisorische Unterkunft'</t>
  </si>
  <si>
    <t>43: Gebäude 190686749 verknüpft, aber die Kategorie ist '1010 provisorische Unterkunft'</t>
  </si>
  <si>
    <t>43: Gebäude 190489472 verknüpft, aber die Kategorie ist '1010 provisorische Unterkunft'</t>
  </si>
  <si>
    <t>43: Gebäude 191665518 verknüpft, aber die Kategorie ist '1010 provisorische Unterkunft'</t>
  </si>
  <si>
    <t>43: Gebäude 191762398 verknüpft, aber die Kategorie ist '1010 provisorische Unterkunft'</t>
  </si>
  <si>
    <t>2628315.500 1227628.750</t>
  </si>
  <si>
    <t>2610468.000 1189110.000</t>
  </si>
  <si>
    <t>2618809.000 1205844.000</t>
  </si>
  <si>
    <t>2604627.976 1202639.584</t>
  </si>
  <si>
    <t>2601061.000 1204758.000</t>
  </si>
  <si>
    <t>2611335.000 1214330.000</t>
  </si>
  <si>
    <t>2608862.042 1195302.394</t>
  </si>
  <si>
    <t>2596275.871 1201961.604</t>
  </si>
  <si>
    <t>Mattacker</t>
  </si>
  <si>
    <t xml:space="preserve">42: die Kategorie 1040 ist mit dem Topic Einzelobjekte der AV nicht kohärent </t>
  </si>
  <si>
    <t xml:space="preserve">42: die Kategorie 1060 ist mit dem Topic Einzelobjekte der AV nicht kohärent </t>
  </si>
  <si>
    <t>42: die Kategorie 1080 ist mit dem Topic Bodenbedeckung der AV nicht kohärent</t>
  </si>
  <si>
    <t xml:space="preserve">42: die Kategorie 1020 ist mit dem Topic Einzelobjekte der AV nicht kohärent </t>
  </si>
  <si>
    <t xml:space="preserve">14: AV-Gebäude verknüpft mit EGID 191964196, but status is 'abgebrochen / aufgehoben'&lt;/br&gt;42: die Kategorie 1060 ist mit dem Topic Einzelobjekte der AV nicht kohärent </t>
  </si>
  <si>
    <t xml:space="preserve">42: die Kategorie 1030 ist mit dem Topic Einzelobjekte der AV nicht kohärent </t>
  </si>
  <si>
    <t>42: die Kategorie 1060 ist mit dem Topic Einzelobjekte der AV nicht kohärent &lt;/br&gt;62: 2 GWR-Gebäude (191208990, 502117185) innerhalb des gleichen AV-Gebäudes</t>
  </si>
  <si>
    <t>2589459.000 1213547.000</t>
  </si>
  <si>
    <t>2604537.000 1197898.000</t>
  </si>
  <si>
    <t>2585078.000 1220184.000</t>
  </si>
  <si>
    <t>2621495.000 1159380.000</t>
  </si>
  <si>
    <t>2603568.000 1184620.000</t>
  </si>
  <si>
    <t>2602525.000 1181815.000</t>
  </si>
  <si>
    <t>2613901.932 1209597.267</t>
  </si>
  <si>
    <t>2619898.000 1162330.000</t>
  </si>
  <si>
    <t>2602668.000 1184237.000</t>
  </si>
  <si>
    <t>J. Hochstrasserweg</t>
  </si>
  <si>
    <t>CH296487773614</t>
  </si>
  <si>
    <t>2532</t>
  </si>
  <si>
    <t>2618797.000 1160290.000</t>
  </si>
  <si>
    <t>2621482.000 1159148.000</t>
  </si>
  <si>
    <t>2628292.169 1201208.064</t>
  </si>
  <si>
    <t>43: Gebäude 191931195 verknüpft, aber die Kategorie ist '1010 provisorische Unterkunft'</t>
  </si>
  <si>
    <t>2612431.000 1220354.250</t>
  </si>
  <si>
    <t>2602092.000 1184641.000</t>
  </si>
  <si>
    <t>2592241.305 1184829.393</t>
  </si>
  <si>
    <t>43: Gebäude 191435812 verknüpft, aber die Kategorie ist '1010 provisorische Unterkunft'</t>
  </si>
  <si>
    <t>62: 2 GWR-Gebäude (1340360, 191090750) innerhalb des gleichen AV-Gebäudes</t>
  </si>
  <si>
    <t>62: 2 GWR-Gebäude (1340375, 191084310) innerhalb des gleichen AV-Gebäudes</t>
  </si>
  <si>
    <t>62: 2 GWR-Gebäude (1340410, 191104110) innerhalb des gleichen AV-Gebäudes</t>
  </si>
  <si>
    <t>62: 2 GWR-Gebäude (3061963, 191089891) innerhalb des gleichen AV-Gebäudes</t>
  </si>
  <si>
    <t>62: 2 GWR-Gebäude (3061974, 191087991) innerhalb des gleichen AV-Gebäudes</t>
  </si>
  <si>
    <t>62: 2 GWR-Gebäude (3062029, 191088450) innerhalb des gleichen AV-Gebäudes</t>
  </si>
  <si>
    <t>62: 2 GWR-Gebäude (3062078, 191095390) innerhalb des gleichen AV-Gebäudes</t>
  </si>
  <si>
    <t>62: 2 GWR-Gebäude (9010121, 191089391) innerhalb des gleichen AV-Gebäudes</t>
  </si>
  <si>
    <t>62: 2 GWR-Gebäude (191090490, 191232053) innerhalb des gleichen AV-Gebäudes</t>
  </si>
  <si>
    <t>62: 2 GWR-Gebäude (191091651, 191091850) innerhalb des gleichen AV-Gebäudes</t>
  </si>
  <si>
    <t>62: 2 GWR-Gebäude (191140276, 191140278) innerhalb des gleichen AV-Gebäudes</t>
  </si>
  <si>
    <t>42: die Kategorie 1060  ist mit dem Topic Einzelobjekte der AV nicht kohärent &lt;/br&gt;62: 2 GWR-Gebäude (191208990, 502117185) innerhalb des gleichen AV-Gebäudes</t>
  </si>
  <si>
    <t>31: Kein AV-Umriss für das Gebäude 191964126</t>
  </si>
  <si>
    <t>31: Kein AV-Umriss für das Gebäude 191975070</t>
  </si>
  <si>
    <t>31: Kein AV-Umriss für das Gebäude 191911340</t>
  </si>
  <si>
    <t>31: Kein AV-Umriss für das Gebäude 190212698</t>
  </si>
  <si>
    <t>31: Kein AV-Umriss für das Gebäude 191769031</t>
  </si>
  <si>
    <t>31: Kein AV-Umriss für das Gebäude 191912387</t>
  </si>
  <si>
    <t>31: Kein AV-Umriss für das Gebäude 191973708</t>
  </si>
  <si>
    <t>31: Kein AV-Umriss für das Gebäude 1336957</t>
  </si>
  <si>
    <t>31: Kein AV-Umriss für das Gebäude 190602331</t>
  </si>
  <si>
    <t>31: Kein AV-Umriss für das Gebäude 190607510</t>
  </si>
  <si>
    <t>31: Kein AV-Umriss für das Gebäude 190753369</t>
  </si>
  <si>
    <t>31: Kein AV-Umriss für das Gebäude 190916571</t>
  </si>
  <si>
    <t>31: Kein AV-Umriss für das Gebäude 191041017</t>
  </si>
  <si>
    <t>31: Kein AV-Umriss für das Gebäude 191135651</t>
  </si>
  <si>
    <t>31: Kein AV-Umriss für das Gebäude 191163790</t>
  </si>
  <si>
    <t>31: Kein AV-Umriss für das Gebäude 191473216</t>
  </si>
  <si>
    <t>31: Kein AV-Umriss für das Gebäude 191510496</t>
  </si>
  <si>
    <t>31: Kein AV-Umriss für das Gebäude 191564131</t>
  </si>
  <si>
    <t>31: Kein AV-Umriss für das Gebäude 191635598</t>
  </si>
  <si>
    <t>31: Kein AV-Umriss für das Gebäude 191649436</t>
  </si>
  <si>
    <t>31: Kein AV-Umriss für das Gebäude 191745955</t>
  </si>
  <si>
    <t>31: Kein AV-Umriss für das Gebäude 191864406</t>
  </si>
  <si>
    <t>31: Kein AV-Umriss für das Gebäude 191884355</t>
  </si>
  <si>
    <t>31: Kein AV-Umriss für das Gebäude 191970229</t>
  </si>
  <si>
    <t>31: Kein AV-Umriss für das Gebäude 191075390</t>
  </si>
  <si>
    <t>31: Kein AV-Umriss für das Gebäude 1340081</t>
  </si>
  <si>
    <t>31: Kein AV-Umriss für das Gebäude 1340383</t>
  </si>
  <si>
    <t>31: Kein AV-Umriss für das Gebäude 3061957</t>
  </si>
  <si>
    <t>31: Kein AV-Umriss für das Gebäude 190106238</t>
  </si>
  <si>
    <t>31: Kein AV-Umriss für das Gebäude 191074090</t>
  </si>
  <si>
    <t>31: Kein AV-Umriss für das Gebäude 191089253</t>
  </si>
  <si>
    <t>31: Kein AV-Umriss für das Gebäude 191089710</t>
  </si>
  <si>
    <t>31: Kein AV-Umriss für das Gebäude 191090770</t>
  </si>
  <si>
    <t>31: Kein AV-Umriss für das Gebäude 191095512</t>
  </si>
  <si>
    <t>31: Kein AV-Umriss für das Gebäude 191096610</t>
  </si>
  <si>
    <t>31: Kein AV-Umriss für das Gebäude 191102072</t>
  </si>
  <si>
    <t>31: Kein AV-Umriss für das Gebäude 191766183</t>
  </si>
  <si>
    <t>31: Kein AV-Umriss für das Gebäude 191950452</t>
  </si>
  <si>
    <t>31: Kein AV-Umriss für das Gebäude 191954641</t>
  </si>
  <si>
    <t>31: Kein AV-Umriss für das Gebäude 191954643</t>
  </si>
  <si>
    <t>31: Kein AV-Umriss für das Gebäude 191954644</t>
  </si>
  <si>
    <t>31: Kein AV-Umriss für das Gebäude 191954645</t>
  </si>
  <si>
    <t>31: Kein AV-Umriss für das Gebäude 191956356</t>
  </si>
  <si>
    <t>31: Kein AV-Umriss für das Gebäude 191956357</t>
  </si>
  <si>
    <t>31: Kein AV-Umriss für das Gebäude 191956358</t>
  </si>
  <si>
    <t>31: Kein AV-Umriss für das Gebäude 191956359</t>
  </si>
  <si>
    <t>31: Kein AV-Umriss für das Gebäude 191956362</t>
  </si>
  <si>
    <t>31: Kein AV-Umriss für das Gebäude 191956365</t>
  </si>
  <si>
    <t>31: Kein AV-Umriss für das Gebäude 191956378</t>
  </si>
  <si>
    <t>31: Kein AV-Umriss für das Gebäude 191956379</t>
  </si>
  <si>
    <t>31: Kein AV-Umriss für das Gebäude 191880888</t>
  </si>
  <si>
    <t>31: Kein AV-Umriss für das Gebäude 191871958</t>
  </si>
  <si>
    <t>31: Kein AV-Umriss für das Gebäude 191963334</t>
  </si>
  <si>
    <t>31: Kein AV-Umriss für das Gebäude 191942645</t>
  </si>
  <si>
    <t>31: Kein AV-Umriss für das Gebäude 1361514</t>
  </si>
  <si>
    <t>31: Kein AV-Umriss für das Gebäude 191397516</t>
  </si>
  <si>
    <t>31: Kein AV-Umriss für das Gebäude 191492838</t>
  </si>
  <si>
    <t>31: Kein AV-Umriss für das Gebäude 191905682</t>
  </si>
  <si>
    <t>31: Kein AV-Umriss für das Gebäude 191889257</t>
  </si>
  <si>
    <t>31: Kein AV-Umriss für das Gebäude 191947901</t>
  </si>
  <si>
    <t>31: Kein AV-Umriss für das Gebäude 191951408</t>
  </si>
  <si>
    <t>31: Kein AV-Umriss für das Gebäude 191883514</t>
  </si>
  <si>
    <t>31: Kein AV-Umriss für das Gebäude 1422393</t>
  </si>
  <si>
    <t>31: Kein AV-Umriss für das Gebäude 190583548</t>
  </si>
  <si>
    <t>31: Kein AV-Umriss für das Gebäude 190587148</t>
  </si>
  <si>
    <t>31: Kein AV-Umriss für das Gebäude 190592228</t>
  </si>
  <si>
    <t>31: Kein AV-Umriss für das Gebäude 190622768</t>
  </si>
  <si>
    <t>31: Kein AV-Umriss für das Gebäude 191413671</t>
  </si>
  <si>
    <t>31: Kein AV-Umriss für das Gebäude 191880849</t>
  </si>
  <si>
    <t>31: Kein AV-Umriss für das Gebäude 191964777</t>
  </si>
  <si>
    <t>31: Kein AV-Umriss für das Gebäude 191966422</t>
  </si>
  <si>
    <t>31: Kein AV-Umriss für das Gebäude 191966424</t>
  </si>
  <si>
    <t>35: überholt im GWR. AV-Umriss schon verknüpft mit dem Gebäude mit EGID 191972117</t>
  </si>
  <si>
    <t>35: überholt im GWR. AV-Umriss schon verknüpft mit dem Gebäude mit EGID 1264006</t>
  </si>
  <si>
    <t>35: überholt im GWR. AV-Umriss schon verknüpft mit dem Gebäude mit EGID 191958848</t>
  </si>
  <si>
    <t>35: überholt im GWR. AV-Umriss schon verknüpft mit dem Gebäude mit EGID 191862228</t>
  </si>
  <si>
    <t>35: überholt im GWR. AV-Umriss schon verknüpft mit dem Gebäude mit EGID 3117660</t>
  </si>
  <si>
    <t>35: überholt im GWR. AV-Umriss schon verknüpft mit dem Gebäude mit EGID 1312537</t>
  </si>
  <si>
    <t>35: überholt im GWR. AV-Umriss schon verknüpft mit dem Gebäude mit EGID 502049587</t>
  </si>
  <si>
    <t>35: überholt im GWR. AV-Umriss schon verknüpft mit dem Gebäude mit EGID 190200318</t>
  </si>
  <si>
    <t>35: überholt im GWR. AV-Umriss schon verknüpft mit dem Gebäude mit EGID 400078560</t>
  </si>
  <si>
    <t>35: überholt im GWR. AV-Umriss schon verknüpft mit dem Gebäude mit EGID 190529028</t>
  </si>
  <si>
    <t>35: überholt im GWR. AV-Umriss schon verknüpft mit dem Gebäude mit EGID 1338109</t>
  </si>
  <si>
    <t>35: überholt im GWR. AV-Umriss schon verknüpft mit dem Gebäude mit EGID 400078242</t>
  </si>
  <si>
    <t>35: überholt im GWR. AV-Umriss schon verknüpft mit dem Gebäude mit EGID 400078358</t>
  </si>
  <si>
    <t>35: überholt im GWR. AV-Umriss schon verknüpft mit dem Gebäude mit EGID 191959842</t>
  </si>
  <si>
    <t>35: überholt im GWR. AV-Umriss schon verknüpft mit dem Gebäude mit EGID 191478753</t>
  </si>
  <si>
    <t>35: überholt im GWR. AV-Umriss schon verknüpft mit dem Gebäude mit EGID 400077640</t>
  </si>
  <si>
    <t>35: überholt im GWR. AV-Umriss schon verknüpft mit dem Gebäude mit EGID 1340284</t>
  </si>
  <si>
    <t>35: überholt im GWR. AV-Umriss schon verknüpft mit dem Gebäude mit EGID 191965382</t>
  </si>
  <si>
    <t>35: überholt im GWR. AV-Umriss schon verknüpft mit dem Gebäude mit EGID 1361526</t>
  </si>
  <si>
    <t>35: überholt im GWR. AV-Umriss schon verknüpft mit dem Gebäude mit EGID 1359686</t>
  </si>
  <si>
    <t>35: überholt im GWR. AV-Umriss schon verknüpft mit dem Gebäude mit EGID 1760693</t>
  </si>
  <si>
    <t>35: überholt im GWR. AV-Umriss schon verknüpft mit dem Gebäude mit EGID 502035337</t>
  </si>
  <si>
    <t>35: überholt im GWR. AV-Umriss schon verknüpft mit dem Gebäude mit EGID 502035336</t>
  </si>
  <si>
    <t>35: überholt im GWR. AV-Umriss schon verknüpft mit dem Gebäude mit EGID 502140434</t>
  </si>
  <si>
    <t>35: überholt im GWR. AV-Umriss schon verknüpft mit dem Gebäude mit EGID 502140081</t>
  </si>
  <si>
    <t>2622487.645 1206286.307</t>
  </si>
  <si>
    <t>2625664.750 1219027.625</t>
  </si>
  <si>
    <t>31: Kein AV-Umriss für das Gebäude 1443174</t>
  </si>
  <si>
    <t>35: überholt im GWR. AV-Umriss schon verknüpft mit dem Gebäude mit EGID 504071126</t>
  </si>
  <si>
    <t>Seelandweg</t>
  </si>
  <si>
    <t>Wird abgebrochen</t>
  </si>
  <si>
    <t>2161</t>
  </si>
  <si>
    <t>CH203235034656</t>
  </si>
  <si>
    <t>2566309.298 1222579.418</t>
  </si>
  <si>
    <t>2614198.000 1175731.000</t>
  </si>
  <si>
    <t>2621082.505 1174188.861</t>
  </si>
  <si>
    <t>31: Kein AV-Umriss für das Gebäude 191984097</t>
  </si>
  <si>
    <t>35: überholt im GWR. AV-Umriss schon verknüpft mit dem Gebäude mit EGID 191972871</t>
  </si>
  <si>
    <t>54</t>
  </si>
  <si>
    <t>Guisanstrasse</t>
  </si>
  <si>
    <t>1141</t>
  </si>
  <si>
    <t>CH234689352934</t>
  </si>
  <si>
    <t>2619317.000 1206349.000</t>
  </si>
  <si>
    <t>31: Kein AV-Umriss für das Gebäude 191871094</t>
  </si>
  <si>
    <t>2594812.750 1156071.299</t>
  </si>
  <si>
    <t>2618391.250 1196295.250</t>
  </si>
  <si>
    <t>2584598.614 1211363.540</t>
  </si>
  <si>
    <t>31: Kein AV-Umriss für das Gebäude 191956954</t>
  </si>
  <si>
    <t>2594113.000 1206448.000</t>
  </si>
  <si>
    <t>2619501.000 1164110.000</t>
  </si>
  <si>
    <t>31: Kein AV-Umriss für das Gebäude 191936874</t>
  </si>
  <si>
    <t>31: Kein AV-Umriss für das Gebäude 191869767</t>
  </si>
  <si>
    <t>2600414.650 1199631.410</t>
  </si>
  <si>
    <t>2600414.500 1199631.410</t>
  </si>
  <si>
    <t>2601824.000 1142864.000</t>
  </si>
  <si>
    <t>31: Kein AV-Umriss für das Gebäude 191983377</t>
  </si>
  <si>
    <t>2600132.149 1198744.995</t>
  </si>
  <si>
    <t>35: überholt im GWR. AV-Umriss schon verknüpft mit dem Gebäude mit EGID 191962167</t>
  </si>
  <si>
    <t>2631046.000 1196994.000</t>
  </si>
  <si>
    <t>2631006.000 1196990.000</t>
  </si>
  <si>
    <t>https://tinyurl.com/yy7ya4g9/BE/301_bdg_erw.kml</t>
  </si>
  <si>
    <t>https://tinyurl.com/yy7ya4g9/BE/302_bdg_erw.kml</t>
  </si>
  <si>
    <t>https://tinyurl.com/yy7ya4g9/BE/303_bdg_erw.kml</t>
  </si>
  <si>
    <t>https://tinyurl.com/yy7ya4g9/BE/304_bdg_erw.kml</t>
  </si>
  <si>
    <t>https://tinyurl.com/yy7ya4g9/BE/305_bdg_erw.kml</t>
  </si>
  <si>
    <t>https://tinyurl.com/yy7ya4g9/BE/306_bdg_erw.kml</t>
  </si>
  <si>
    <t>https://tinyurl.com/yy7ya4g9/BE/307_bdg_erw.kml</t>
  </si>
  <si>
    <t>https://tinyurl.com/yy7ya4g9/BE/309_bdg_erw.kml</t>
  </si>
  <si>
    <t>https://tinyurl.com/yy7ya4g9/BE/310_bdg_erw.kml</t>
  </si>
  <si>
    <t>https://tinyurl.com/yy7ya4g9/BE/311_bdg_erw.kml</t>
  </si>
  <si>
    <t>https://tinyurl.com/yy7ya4g9/BE/312_bdg_erw.kml</t>
  </si>
  <si>
    <t>https://tinyurl.com/yy7ya4g9/BE/321_bdg_erw.kml</t>
  </si>
  <si>
    <t>https://tinyurl.com/yy7ya4g9/BE/322_bdg_erw.kml</t>
  </si>
  <si>
    <t>https://tinyurl.com/yy7ya4g9/BE/323_bdg_erw.kml</t>
  </si>
  <si>
    <t>https://tinyurl.com/yy7ya4g9/BE/324_bdg_erw.kml</t>
  </si>
  <si>
    <t>https://tinyurl.com/yy7ya4g9/BE/325_bdg_erw.kml</t>
  </si>
  <si>
    <t>https://tinyurl.com/yy7ya4g9/BE/326_bdg_erw.kml</t>
  </si>
  <si>
    <t>https://tinyurl.com/yy7ya4g9/BE/329_bdg_erw.kml</t>
  </si>
  <si>
    <t>https://tinyurl.com/yy7ya4g9/BE/331_bdg_erw.kml</t>
  </si>
  <si>
    <t>https://tinyurl.com/yy7ya4g9/BE/332_bdg_erw.kml</t>
  </si>
  <si>
    <t>https://tinyurl.com/yy7ya4g9/BE/333_bdg_erw.kml</t>
  </si>
  <si>
    <t>https://tinyurl.com/yy7ya4g9/BE/335_bdg_erw.kml</t>
  </si>
  <si>
    <t>https://tinyurl.com/yy7ya4g9/BE/336_bdg_erw.kml</t>
  </si>
  <si>
    <t>https://tinyurl.com/yy7ya4g9/BE/337_bdg_erw.kml</t>
  </si>
  <si>
    <t>https://tinyurl.com/yy7ya4g9/BE/338_bdg_erw.kml</t>
  </si>
  <si>
    <t>https://tinyurl.com/yy7ya4g9/BE/339_bdg_erw.kml</t>
  </si>
  <si>
    <t>https://tinyurl.com/yy7ya4g9/BE/340_bdg_erw.kml</t>
  </si>
  <si>
    <t>https://tinyurl.com/yy7ya4g9/BE/341_bdg_erw.kml</t>
  </si>
  <si>
    <t>https://tinyurl.com/yy7ya4g9/BE/342_bdg_erw.kml</t>
  </si>
  <si>
    <t>https://tinyurl.com/yy7ya4g9/BE/344_bdg_erw.kml</t>
  </si>
  <si>
    <t>https://tinyurl.com/yy7ya4g9/BE/345_bdg_erw.kml</t>
  </si>
  <si>
    <t>https://tinyurl.com/yy7ya4g9/BE/351_bdg_erw.kml</t>
  </si>
  <si>
    <t>https://tinyurl.com/yy7ya4g9/BE/352_bdg_erw.kml</t>
  </si>
  <si>
    <t>https://tinyurl.com/yy7ya4g9/BE/353_bdg_erw.kml</t>
  </si>
  <si>
    <t>https://tinyurl.com/yy7ya4g9/BE/354_bdg_erw.kml</t>
  </si>
  <si>
    <t>https://tinyurl.com/yy7ya4g9/BE/355_bdg_erw.kml</t>
  </si>
  <si>
    <t>https://tinyurl.com/yy7ya4g9/BE/356_bdg_erw.kml</t>
  </si>
  <si>
    <t>https://tinyurl.com/yy7ya4g9/BE/357_bdg_erw.kml</t>
  </si>
  <si>
    <t>https://tinyurl.com/yy7ya4g9/BE/358_bdg_erw.kml</t>
  </si>
  <si>
    <t>https://tinyurl.com/yy7ya4g9/BE/359_bdg_erw.kml</t>
  </si>
  <si>
    <t>https://tinyurl.com/yy7ya4g9/BE/360_bdg_erw.kml</t>
  </si>
  <si>
    <t>https://tinyurl.com/yy7ya4g9/BE/361_bdg_erw.kml</t>
  </si>
  <si>
    <t>https://tinyurl.com/yy7ya4g9/BE/362_bdg_erw.kml</t>
  </si>
  <si>
    <t>https://tinyurl.com/yy7ya4g9/BE/363_bdg_erw.kml</t>
  </si>
  <si>
    <t>https://tinyurl.com/yy7ya4g9/BE/371_bdg_erw.kml</t>
  </si>
  <si>
    <t>https://tinyurl.com/yy7ya4g9/BE/372_bdg_erw.kml</t>
  </si>
  <si>
    <t>https://tinyurl.com/yy7ya4g9/BE/381_bdg_erw.kml</t>
  </si>
  <si>
    <t>https://tinyurl.com/yy7ya4g9/BE/382_bdg_erw.kml</t>
  </si>
  <si>
    <t>https://tinyurl.com/yy7ya4g9/BE/383_bdg_erw.kml</t>
  </si>
  <si>
    <t>https://tinyurl.com/yy7ya4g9/BE/385_bdg_erw.kml</t>
  </si>
  <si>
    <t>https://tinyurl.com/yy7ya4g9/BE/386_bdg_erw.kml</t>
  </si>
  <si>
    <t>https://tinyurl.com/yy7ya4g9/BE/387_bdg_erw.kml</t>
  </si>
  <si>
    <t>https://tinyurl.com/yy7ya4g9/BE/388_bdg_erw.kml</t>
  </si>
  <si>
    <t>https://tinyurl.com/yy7ya4g9/BE/389_bdg_erw.kml</t>
  </si>
  <si>
    <t>https://tinyurl.com/yy7ya4g9/BE/390_bdg_erw.kml</t>
  </si>
  <si>
    <t>https://tinyurl.com/yy7ya4g9/BE/391_bdg_erw.kml</t>
  </si>
  <si>
    <t>https://tinyurl.com/yy7ya4g9/BE/392_bdg_erw.kml</t>
  </si>
  <si>
    <t>https://tinyurl.com/yy7ya4g9/BE/393_bdg_erw.kml</t>
  </si>
  <si>
    <t>https://tinyurl.com/yy7ya4g9/BE/394_bdg_erw.kml</t>
  </si>
  <si>
    <t>https://tinyurl.com/yy7ya4g9/BE/401_bdg_erw.kml</t>
  </si>
  <si>
    <t>https://tinyurl.com/yy7ya4g9/BE/402_bdg_erw.kml</t>
  </si>
  <si>
    <t>https://tinyurl.com/yy7ya4g9/BE/403_bdg_erw.kml</t>
  </si>
  <si>
    <t>https://tinyurl.com/yy7ya4g9/BE/404_bdg_erw.kml</t>
  </si>
  <si>
    <t>https://tinyurl.com/yy7ya4g9/BE/405_bdg_erw.kml</t>
  </si>
  <si>
    <t>https://tinyurl.com/yy7ya4g9/BE/406_bdg_erw.kml</t>
  </si>
  <si>
    <t>https://tinyurl.com/yy7ya4g9/BE/407_bdg_erw.kml</t>
  </si>
  <si>
    <t>https://tinyurl.com/yy7ya4g9/BE/408_bdg_erw.kml</t>
  </si>
  <si>
    <t>https://tinyurl.com/yy7ya4g9/BE/409_bdg_erw.kml</t>
  </si>
  <si>
    <t>https://tinyurl.com/yy7ya4g9/BE/410_bdg_erw.kml</t>
  </si>
  <si>
    <t>https://tinyurl.com/yy7ya4g9/BE/411_bdg_erw.kml</t>
  </si>
  <si>
    <t>https://tinyurl.com/yy7ya4g9/BE/412_bdg_erw.kml</t>
  </si>
  <si>
    <t>https://tinyurl.com/yy7ya4g9/BE/413_bdg_erw.kml</t>
  </si>
  <si>
    <t>https://tinyurl.com/yy7ya4g9/BE/414_bdg_erw.kml</t>
  </si>
  <si>
    <t>https://tinyurl.com/yy7ya4g9/BE/415_bdg_erw.kml</t>
  </si>
  <si>
    <t>https://tinyurl.com/yy7ya4g9/BE/418_bdg_erw.kml</t>
  </si>
  <si>
    <t>https://tinyurl.com/yy7ya4g9/BE/420_bdg_erw.kml</t>
  </si>
  <si>
    <t>https://tinyurl.com/yy7ya4g9/BE/421_bdg_erw.kml</t>
  </si>
  <si>
    <t>https://tinyurl.com/yy7ya4g9/BE/422_bdg_erw.kml</t>
  </si>
  <si>
    <t>https://tinyurl.com/yy7ya4g9/BE/423_bdg_erw.kml</t>
  </si>
  <si>
    <t>https://tinyurl.com/yy7ya4g9/BE/424_bdg_erw.kml</t>
  </si>
  <si>
    <t>https://tinyurl.com/yy7ya4g9/BE/431_bdg_erw.kml</t>
  </si>
  <si>
    <t>https://tinyurl.com/yy7ya4g9/BE/432_bdg_erw.kml</t>
  </si>
  <si>
    <t>https://tinyurl.com/yy7ya4g9/BE/433_bdg_erw.kml</t>
  </si>
  <si>
    <t>https://tinyurl.com/yy7ya4g9/BE/434_bdg_erw.kml</t>
  </si>
  <si>
    <t>https://tinyurl.com/yy7ya4g9/BE/435_bdg_erw.kml</t>
  </si>
  <si>
    <t>https://tinyurl.com/yy7ya4g9/BE/437_bdg_erw.kml</t>
  </si>
  <si>
    <t>https://tinyurl.com/yy7ya4g9/BE/438_bdg_erw.kml</t>
  </si>
  <si>
    <t>https://tinyurl.com/yy7ya4g9/BE/441_bdg_erw.kml</t>
  </si>
  <si>
    <t>https://tinyurl.com/yy7ya4g9/BE/442_bdg_erw.kml</t>
  </si>
  <si>
    <t>https://tinyurl.com/yy7ya4g9/BE/443_bdg_erw.kml</t>
  </si>
  <si>
    <t>https://tinyurl.com/yy7ya4g9/BE/444_bdg_erw.kml</t>
  </si>
  <si>
    <t>https://tinyurl.com/yy7ya4g9/BE/445_bdg_erw.kml</t>
  </si>
  <si>
    <t>https://tinyurl.com/yy7ya4g9/BE/446_bdg_erw.kml</t>
  </si>
  <si>
    <t>https://tinyurl.com/yy7ya4g9/BE/448_bdg_erw.kml</t>
  </si>
  <si>
    <t>https://tinyurl.com/yy7ya4g9/BE/449_bdg_erw.kml</t>
  </si>
  <si>
    <t>https://tinyurl.com/yy7ya4g9/BE/450_bdg_erw.kml</t>
  </si>
  <si>
    <t>https://tinyurl.com/yy7ya4g9/BE/491_bdg_erw.kml</t>
  </si>
  <si>
    <t>https://tinyurl.com/yy7ya4g9/BE/492_bdg_erw.kml</t>
  </si>
  <si>
    <t>https://tinyurl.com/yy7ya4g9/BE/493_bdg_erw.kml</t>
  </si>
  <si>
    <t>https://tinyurl.com/yy7ya4g9/BE/494_bdg_erw.kml</t>
  </si>
  <si>
    <t>https://tinyurl.com/yy7ya4g9/BE/495_bdg_erw.kml</t>
  </si>
  <si>
    <t>https://tinyurl.com/yy7ya4g9/BE/496_bdg_erw.kml</t>
  </si>
  <si>
    <t>https://tinyurl.com/yy7ya4g9/BE/497_bdg_erw.kml</t>
  </si>
  <si>
    <t>https://tinyurl.com/yy7ya4g9/BE/498_bdg_erw.kml</t>
  </si>
  <si>
    <t>https://tinyurl.com/yy7ya4g9/BE/499_bdg_erw.kml</t>
  </si>
  <si>
    <t>https://tinyurl.com/yy7ya4g9/BE/500_bdg_erw.kml</t>
  </si>
  <si>
    <t>https://tinyurl.com/yy7ya4g9/BE/501_bdg_erw.kml</t>
  </si>
  <si>
    <t>https://tinyurl.com/yy7ya4g9/BE/502_bdg_erw.kml</t>
  </si>
  <si>
    <t>https://tinyurl.com/yy7ya4g9/BE/533_bdg_erw.kml</t>
  </si>
  <si>
    <t>https://tinyurl.com/yy7ya4g9/BE/535_bdg_erw.kml</t>
  </si>
  <si>
    <t>https://tinyurl.com/yy7ya4g9/BE/538_bdg_erw.kml</t>
  </si>
  <si>
    <t>https://tinyurl.com/yy7ya4g9/BE/540_bdg_erw.kml</t>
  </si>
  <si>
    <t>https://tinyurl.com/yy7ya4g9/BE/541_bdg_erw.kml</t>
  </si>
  <si>
    <t>https://tinyurl.com/yy7ya4g9/BE/543_bdg_erw.kml</t>
  </si>
  <si>
    <t>https://tinyurl.com/yy7ya4g9/BE/544_bdg_erw.kml</t>
  </si>
  <si>
    <t>https://tinyurl.com/yy7ya4g9/BE/546_bdg_erw.kml</t>
  </si>
  <si>
    <t>https://tinyurl.com/yy7ya4g9/BE/551_bdg_erw.kml</t>
  </si>
  <si>
    <t>https://tinyurl.com/yy7ya4g9/BE/552_bdg_erw.kml</t>
  </si>
  <si>
    <t>https://tinyurl.com/yy7ya4g9/BE/553_bdg_erw.kml</t>
  </si>
  <si>
    <t>https://tinyurl.com/yy7ya4g9/BE/554_bdg_erw.kml</t>
  </si>
  <si>
    <t>https://tinyurl.com/yy7ya4g9/BE/556_bdg_erw.kml</t>
  </si>
  <si>
    <t>https://tinyurl.com/yy7ya4g9/BE/557_bdg_erw.kml</t>
  </si>
  <si>
    <t>https://tinyurl.com/yy7ya4g9/BE/561_bdg_erw.kml</t>
  </si>
  <si>
    <t>https://tinyurl.com/yy7ya4g9/BE/562_bdg_erw.kml</t>
  </si>
  <si>
    <t>https://tinyurl.com/yy7ya4g9/BE/563_bdg_erw.kml</t>
  </si>
  <si>
    <t>https://tinyurl.com/yy7ya4g9/BE/564_bdg_erw.kml</t>
  </si>
  <si>
    <t>https://tinyurl.com/yy7ya4g9/BE/565_bdg_erw.kml</t>
  </si>
  <si>
    <t>https://tinyurl.com/yy7ya4g9/BE/566_bdg_erw.kml</t>
  </si>
  <si>
    <t>https://tinyurl.com/yy7ya4g9/BE/567_bdg_erw.kml</t>
  </si>
  <si>
    <t>https://tinyurl.com/yy7ya4g9/BE/571_bdg_erw.kml</t>
  </si>
  <si>
    <t>https://tinyurl.com/yy7ya4g9/BE/572_bdg_erw.kml</t>
  </si>
  <si>
    <t>https://tinyurl.com/yy7ya4g9/BE/573_bdg_erw.kml</t>
  </si>
  <si>
    <t>https://tinyurl.com/yy7ya4g9/BE/574_bdg_erw.kml</t>
  </si>
  <si>
    <t>https://tinyurl.com/yy7ya4g9/BE/575_bdg_erw.kml</t>
  </si>
  <si>
    <t>https://tinyurl.com/yy7ya4g9/BE/576_bdg_erw.kml</t>
  </si>
  <si>
    <t>https://tinyurl.com/yy7ya4g9/BE/577_bdg_erw.kml</t>
  </si>
  <si>
    <t>https://tinyurl.com/yy7ya4g9/BE/578_bdg_erw.kml</t>
  </si>
  <si>
    <t>https://tinyurl.com/yy7ya4g9/BE/579_bdg_erw.kml</t>
  </si>
  <si>
    <t>https://tinyurl.com/yy7ya4g9/BE/580_bdg_erw.kml</t>
  </si>
  <si>
    <t>https://tinyurl.com/yy7ya4g9/BE/581_bdg_erw.kml</t>
  </si>
  <si>
    <t>https://tinyurl.com/yy7ya4g9/BE/582_bdg_erw.kml</t>
  </si>
  <si>
    <t>https://tinyurl.com/yy7ya4g9/BE/584_bdg_erw.kml</t>
  </si>
  <si>
    <t>https://tinyurl.com/yy7ya4g9/BE/585_bdg_erw.kml</t>
  </si>
  <si>
    <t>https://tinyurl.com/yy7ya4g9/BE/586_bdg_erw.kml</t>
  </si>
  <si>
    <t>https://tinyurl.com/yy7ya4g9/BE/587_bdg_erw.kml</t>
  </si>
  <si>
    <t>https://tinyurl.com/yy7ya4g9/BE/588_bdg_erw.kml</t>
  </si>
  <si>
    <t>https://tinyurl.com/yy7ya4g9/BE/589_bdg_erw.kml</t>
  </si>
  <si>
    <t>https://tinyurl.com/yy7ya4g9/BE/590_bdg_erw.kml</t>
  </si>
  <si>
    <t>https://tinyurl.com/yy7ya4g9/BE/591_bdg_erw.kml</t>
  </si>
  <si>
    <t>https://tinyurl.com/yy7ya4g9/BE/592_bdg_erw.kml</t>
  </si>
  <si>
    <t>https://tinyurl.com/yy7ya4g9/BE/593_bdg_erw.kml</t>
  </si>
  <si>
    <t>https://tinyurl.com/yy7ya4g9/BE/594_bdg_erw.kml</t>
  </si>
  <si>
    <t>https://tinyurl.com/yy7ya4g9/BE/602_bdg_erw.kml</t>
  </si>
  <si>
    <t>https://tinyurl.com/yy7ya4g9/BE/603_bdg_erw.kml</t>
  </si>
  <si>
    <t>https://tinyurl.com/yy7ya4g9/BE/605_bdg_erw.kml</t>
  </si>
  <si>
    <t>https://tinyurl.com/yy7ya4g9/BE/606_bdg_erw.kml</t>
  </si>
  <si>
    <t>https://tinyurl.com/yy7ya4g9/BE/607_bdg_erw.kml</t>
  </si>
  <si>
    <t>https://tinyurl.com/yy7ya4g9/BE/608_bdg_erw.kml</t>
  </si>
  <si>
    <t>https://tinyurl.com/yy7ya4g9/BE/609_bdg_erw.kml</t>
  </si>
  <si>
    <t>https://tinyurl.com/yy7ya4g9/BE/610_bdg_erw.kml</t>
  </si>
  <si>
    <t>https://tinyurl.com/yy7ya4g9/BE/611_bdg_erw.kml</t>
  </si>
  <si>
    <t>https://tinyurl.com/yy7ya4g9/BE/612_bdg_erw.kml</t>
  </si>
  <si>
    <t>https://tinyurl.com/yy7ya4g9/BE/613_bdg_erw.kml</t>
  </si>
  <si>
    <t>https://tinyurl.com/yy7ya4g9/BE/614_bdg_erw.kml</t>
  </si>
  <si>
    <t>https://tinyurl.com/yy7ya4g9/BE/615_bdg_erw.kml</t>
  </si>
  <si>
    <t>https://tinyurl.com/yy7ya4g9/BE/616_bdg_erw.kml</t>
  </si>
  <si>
    <t>https://tinyurl.com/yy7ya4g9/BE/617_bdg_erw.kml</t>
  </si>
  <si>
    <t>https://tinyurl.com/yy7ya4g9/BE/619_bdg_erw.kml</t>
  </si>
  <si>
    <t>https://tinyurl.com/yy7ya4g9/BE/620_bdg_erw.kml</t>
  </si>
  <si>
    <t>https://tinyurl.com/yy7ya4g9/BE/622_bdg_erw.kml</t>
  </si>
  <si>
    <t>https://tinyurl.com/yy7ya4g9/BE/623_bdg_erw.kml</t>
  </si>
  <si>
    <t>https://tinyurl.com/yy7ya4g9/BE/626_bdg_erw.kml</t>
  </si>
  <si>
    <t>https://tinyurl.com/yy7ya4g9/BE/627_bdg_erw.kml</t>
  </si>
  <si>
    <t>https://tinyurl.com/yy7ya4g9/BE/628_bdg_erw.kml</t>
  </si>
  <si>
    <t>https://tinyurl.com/yy7ya4g9/BE/629_bdg_erw.kml</t>
  </si>
  <si>
    <t>https://tinyurl.com/yy7ya4g9/BE/630_bdg_erw.kml</t>
  </si>
  <si>
    <t>https://tinyurl.com/yy7ya4g9/BE/632_bdg_erw.kml</t>
  </si>
  <si>
    <t>https://tinyurl.com/yy7ya4g9/BE/662_bdg_erw.kml</t>
  </si>
  <si>
    <t>https://tinyurl.com/yy7ya4g9/BE/663_bdg_erw.kml</t>
  </si>
  <si>
    <t>https://tinyurl.com/yy7ya4g9/BE/665_bdg_erw.kml</t>
  </si>
  <si>
    <t>https://tinyurl.com/yy7ya4g9/BE/666_bdg_erw.kml</t>
  </si>
  <si>
    <t>https://tinyurl.com/yy7ya4g9/BE/667_bdg_erw.kml</t>
  </si>
  <si>
    <t>https://tinyurl.com/yy7ya4g9/BE/668_bdg_erw.kml</t>
  </si>
  <si>
    <t>https://tinyurl.com/yy7ya4g9/BE/669_bdg_erw.kml</t>
  </si>
  <si>
    <t>https://tinyurl.com/yy7ya4g9/BE/670_bdg_erw.kml</t>
  </si>
  <si>
    <t>https://tinyurl.com/yy7ya4g9/BE/671_bdg_erw.kml</t>
  </si>
  <si>
    <t>https://tinyurl.com/yy7ya4g9/BE/681_bdg_erw.kml</t>
  </si>
  <si>
    <t>https://tinyurl.com/yy7ya4g9/BE/683_bdg_erw.kml</t>
  </si>
  <si>
    <t>https://tinyurl.com/yy7ya4g9/BE/687_bdg_erw.kml</t>
  </si>
  <si>
    <t>https://tinyurl.com/yy7ya4g9/BE/690_bdg_erw.kml</t>
  </si>
  <si>
    <t>https://tinyurl.com/yy7ya4g9/BE/691_bdg_erw.kml</t>
  </si>
  <si>
    <t>https://tinyurl.com/yy7ya4g9/BE/692_bdg_erw.kml</t>
  </si>
  <si>
    <t>https://tinyurl.com/yy7ya4g9/BE/694_bdg_erw.kml</t>
  </si>
  <si>
    <t>https://tinyurl.com/yy7ya4g9/BE/696_bdg_erw.kml</t>
  </si>
  <si>
    <t>https://tinyurl.com/yy7ya4g9/BE/700_bdg_erw.kml</t>
  </si>
  <si>
    <t>https://tinyurl.com/yy7ya4g9/BE/701_bdg_erw.kml</t>
  </si>
  <si>
    <t>https://tinyurl.com/yy7ya4g9/BE/703_bdg_erw.kml</t>
  </si>
  <si>
    <t>https://tinyurl.com/yy7ya4g9/BE/704_bdg_erw.kml</t>
  </si>
  <si>
    <t>https://tinyurl.com/yy7ya4g9/BE/706_bdg_erw.kml</t>
  </si>
  <si>
    <t>https://tinyurl.com/yy7ya4g9/BE/707_bdg_erw.kml</t>
  </si>
  <si>
    <t>https://tinyurl.com/yy7ya4g9/BE/708_bdg_erw.kml</t>
  </si>
  <si>
    <t>https://tinyurl.com/yy7ya4g9/BE/709_bdg_erw.kml</t>
  </si>
  <si>
    <t>https://tinyurl.com/yy7ya4g9/BE/711_bdg_erw.kml</t>
  </si>
  <si>
    <t>https://tinyurl.com/yy7ya4g9/BE/713_bdg_erw.kml</t>
  </si>
  <si>
    <t>https://tinyurl.com/yy7ya4g9/BE/715_bdg_erw.kml</t>
  </si>
  <si>
    <t>https://tinyurl.com/yy7ya4g9/BE/716_bdg_erw.kml</t>
  </si>
  <si>
    <t>https://tinyurl.com/yy7ya4g9/BE/717_bdg_erw.kml</t>
  </si>
  <si>
    <t>https://tinyurl.com/yy7ya4g9/BE/723_bdg_erw.kml</t>
  </si>
  <si>
    <t>https://tinyurl.com/yy7ya4g9/BE/724_bdg_erw.kml</t>
  </si>
  <si>
    <t>https://tinyurl.com/yy7ya4g9/BE/726_bdg_erw.kml</t>
  </si>
  <si>
    <t>https://tinyurl.com/yy7ya4g9/BE/731_bdg_erw.kml</t>
  </si>
  <si>
    <t>https://tinyurl.com/yy7ya4g9/BE/732_bdg_erw.kml</t>
  </si>
  <si>
    <t>https://tinyurl.com/yy7ya4g9/BE/733_bdg_erw.kml</t>
  </si>
  <si>
    <t>https://tinyurl.com/yy7ya4g9/BE/734_bdg_erw.kml</t>
  </si>
  <si>
    <t>https://tinyurl.com/yy7ya4g9/BE/735_bdg_erw.kml</t>
  </si>
  <si>
    <t>https://tinyurl.com/yy7ya4g9/BE/736_bdg_erw.kml</t>
  </si>
  <si>
    <t>https://tinyurl.com/yy7ya4g9/BE/737_bdg_erw.kml</t>
  </si>
  <si>
    <t>https://tinyurl.com/yy7ya4g9/BE/738_bdg_erw.kml</t>
  </si>
  <si>
    <t>https://tinyurl.com/yy7ya4g9/BE/739_bdg_erw.kml</t>
  </si>
  <si>
    <t>https://tinyurl.com/yy7ya4g9/BE/740_bdg_erw.kml</t>
  </si>
  <si>
    <t>https://tinyurl.com/yy7ya4g9/BE/741_bdg_erw.kml</t>
  </si>
  <si>
    <t>https://tinyurl.com/yy7ya4g9/BE/742_bdg_erw.kml</t>
  </si>
  <si>
    <t>https://tinyurl.com/yy7ya4g9/BE/743_bdg_erw.kml</t>
  </si>
  <si>
    <t>https://tinyurl.com/yy7ya4g9/BE/744_bdg_erw.kml</t>
  </si>
  <si>
    <t>https://tinyurl.com/yy7ya4g9/BE/745_bdg_erw.kml</t>
  </si>
  <si>
    <t>https://tinyurl.com/yy7ya4g9/BE/746_bdg_erw.kml</t>
  </si>
  <si>
    <t>https://tinyurl.com/yy7ya4g9/BE/747_bdg_erw.kml</t>
  </si>
  <si>
    <t>https://tinyurl.com/yy7ya4g9/BE/748_bdg_erw.kml</t>
  </si>
  <si>
    <t>https://tinyurl.com/yy7ya4g9/BE/749_bdg_erw.kml</t>
  </si>
  <si>
    <t>https://tinyurl.com/yy7ya4g9/BE/750_bdg_erw.kml</t>
  </si>
  <si>
    <t>https://tinyurl.com/yy7ya4g9/BE/751_bdg_erw.kml</t>
  </si>
  <si>
    <t>https://tinyurl.com/yy7ya4g9/BE/754_bdg_erw.kml</t>
  </si>
  <si>
    <t>https://tinyurl.com/yy7ya4g9/BE/755_bdg_erw.kml</t>
  </si>
  <si>
    <t>https://tinyurl.com/yy7ya4g9/BE/756_bdg_erw.kml</t>
  </si>
  <si>
    <t>https://tinyurl.com/yy7ya4g9/BE/761_bdg_erw.kml</t>
  </si>
  <si>
    <t>https://tinyurl.com/yy7ya4g9/BE/762_bdg_erw.kml</t>
  </si>
  <si>
    <t>https://tinyurl.com/yy7ya4g9/BE/763_bdg_erw.kml</t>
  </si>
  <si>
    <t>https://tinyurl.com/yy7ya4g9/BE/766_bdg_erw.kml</t>
  </si>
  <si>
    <t>https://tinyurl.com/yy7ya4g9/BE/767_bdg_erw.kml</t>
  </si>
  <si>
    <t>https://tinyurl.com/yy7ya4g9/BE/768_bdg_erw.kml</t>
  </si>
  <si>
    <t>https://tinyurl.com/yy7ya4g9/BE/769_bdg_erw.kml</t>
  </si>
  <si>
    <t>https://tinyurl.com/yy7ya4g9/BE/770_bdg_erw.kml</t>
  </si>
  <si>
    <t>https://tinyurl.com/yy7ya4g9/BE/782_bdg_erw.kml</t>
  </si>
  <si>
    <t>https://tinyurl.com/yy7ya4g9/BE/783_bdg_erw.kml</t>
  </si>
  <si>
    <t>https://tinyurl.com/yy7ya4g9/BE/784_bdg_erw.kml</t>
  </si>
  <si>
    <t>https://tinyurl.com/yy7ya4g9/BE/785_bdg_erw.kml</t>
  </si>
  <si>
    <t>https://tinyurl.com/yy7ya4g9/BE/786_bdg_erw.kml</t>
  </si>
  <si>
    <t>https://tinyurl.com/yy7ya4g9/BE/791_bdg_erw.kml</t>
  </si>
  <si>
    <t>https://tinyurl.com/yy7ya4g9/BE/792_bdg_erw.kml</t>
  </si>
  <si>
    <t>https://tinyurl.com/yy7ya4g9/BE/793_bdg_erw.kml</t>
  </si>
  <si>
    <t>https://tinyurl.com/yy7ya4g9/BE/794_bdg_erw.kml</t>
  </si>
  <si>
    <t>https://tinyurl.com/yy7ya4g9/BE/841_bdg_erw.kml</t>
  </si>
  <si>
    <t>https://tinyurl.com/yy7ya4g9/BE/842_bdg_erw.kml</t>
  </si>
  <si>
    <t>https://tinyurl.com/yy7ya4g9/BE/843_bdg_erw.kml</t>
  </si>
  <si>
    <t>https://tinyurl.com/yy7ya4g9/BE/852_bdg_erw.kml</t>
  </si>
  <si>
    <t>https://tinyurl.com/yy7ya4g9/BE/853_bdg_erw.kml</t>
  </si>
  <si>
    <t>https://tinyurl.com/yy7ya4g9/BE/855_bdg_erw.kml</t>
  </si>
  <si>
    <t>https://tinyurl.com/yy7ya4g9/BE/861_bdg_erw.kml</t>
  </si>
  <si>
    <t>https://tinyurl.com/yy7ya4g9/BE/863_bdg_erw.kml</t>
  </si>
  <si>
    <t>https://tinyurl.com/yy7ya4g9/BE/866_bdg_erw.kml</t>
  </si>
  <si>
    <t>https://tinyurl.com/yy7ya4g9/BE/867_bdg_erw.kml</t>
  </si>
  <si>
    <t>https://tinyurl.com/yy7ya4g9/BE/868_bdg_erw.kml</t>
  </si>
  <si>
    <t>https://tinyurl.com/yy7ya4g9/BE/869_bdg_erw.kml</t>
  </si>
  <si>
    <t>https://tinyurl.com/yy7ya4g9/BE/870_bdg_erw.kml</t>
  </si>
  <si>
    <t>https://tinyurl.com/yy7ya4g9/BE/872_bdg_erw.kml</t>
  </si>
  <si>
    <t>https://tinyurl.com/yy7ya4g9/BE/877_bdg_erw.kml</t>
  </si>
  <si>
    <t>https://tinyurl.com/yy7ya4g9/BE/879_bdg_erw.kml</t>
  </si>
  <si>
    <t>https://tinyurl.com/yy7ya4g9/BE/880_bdg_erw.kml</t>
  </si>
  <si>
    <t>https://tinyurl.com/yy7ya4g9/BE/883_bdg_erw.kml</t>
  </si>
  <si>
    <t>https://tinyurl.com/yy7ya4g9/BE/884_bdg_erw.kml</t>
  </si>
  <si>
    <t>https://tinyurl.com/yy7ya4g9/BE/885_bdg_erw.kml</t>
  </si>
  <si>
    <t>https://tinyurl.com/yy7ya4g9/BE/886_bdg_erw.kml</t>
  </si>
  <si>
    <t>https://tinyurl.com/yy7ya4g9/BE/888_bdg_erw.kml</t>
  </si>
  <si>
    <t>https://tinyurl.com/yy7ya4g9/BE/889_bdg_erw.kml</t>
  </si>
  <si>
    <t>https://tinyurl.com/yy7ya4g9/BE/901_bdg_erw.kml</t>
  </si>
  <si>
    <t>https://tinyurl.com/yy7ya4g9/BE/902_bdg_erw.kml</t>
  </si>
  <si>
    <t>https://tinyurl.com/yy7ya4g9/BE/903_bdg_erw.kml</t>
  </si>
  <si>
    <t>https://tinyurl.com/yy7ya4g9/BE/904_bdg_erw.kml</t>
  </si>
  <si>
    <t>https://tinyurl.com/yy7ya4g9/BE/905_bdg_erw.kml</t>
  </si>
  <si>
    <t>https://tinyurl.com/yy7ya4g9/BE/906_bdg_erw.kml</t>
  </si>
  <si>
    <t>https://tinyurl.com/yy7ya4g9/BE/907_bdg_erw.kml</t>
  </si>
  <si>
    <t>https://tinyurl.com/yy7ya4g9/BE/908_bdg_erw.kml</t>
  </si>
  <si>
    <t>https://tinyurl.com/yy7ya4g9/BE/909_bdg_erw.kml</t>
  </si>
  <si>
    <t>https://tinyurl.com/yy7ya4g9/BE/921_bdg_erw.kml</t>
  </si>
  <si>
    <t>https://tinyurl.com/yy7ya4g9/BE/922_bdg_erw.kml</t>
  </si>
  <si>
    <t>https://tinyurl.com/yy7ya4g9/BE/923_bdg_erw.kml</t>
  </si>
  <si>
    <t>https://tinyurl.com/yy7ya4g9/BE/924_bdg_erw.kml</t>
  </si>
  <si>
    <t>https://tinyurl.com/yy7ya4g9/BE/925_bdg_erw.kml</t>
  </si>
  <si>
    <t>https://tinyurl.com/yy7ya4g9/BE/927_bdg_erw.kml</t>
  </si>
  <si>
    <t>https://tinyurl.com/yy7ya4g9/BE/928_bdg_erw.kml</t>
  </si>
  <si>
    <t>https://tinyurl.com/yy7ya4g9/BE/929_bdg_erw.kml</t>
  </si>
  <si>
    <t>https://tinyurl.com/yy7ya4g9/BE/931_bdg_erw.kml</t>
  </si>
  <si>
    <t>https://tinyurl.com/yy7ya4g9/BE/932_bdg_erw.kml</t>
  </si>
  <si>
    <t>https://tinyurl.com/yy7ya4g9/BE/934_bdg_erw.kml</t>
  </si>
  <si>
    <t>https://tinyurl.com/yy7ya4g9/BE/935_bdg_erw.kml</t>
  </si>
  <si>
    <t>https://tinyurl.com/yy7ya4g9/BE/936_bdg_erw.kml</t>
  </si>
  <si>
    <t>https://tinyurl.com/yy7ya4g9/BE/938_bdg_erw.kml</t>
  </si>
  <si>
    <t>https://tinyurl.com/yy7ya4g9/BE/939_bdg_erw.kml</t>
  </si>
  <si>
    <t>https://tinyurl.com/yy7ya4g9/BE/940_bdg_erw.kml</t>
  </si>
  <si>
    <t>https://tinyurl.com/yy7ya4g9/BE/941_bdg_erw.kml</t>
  </si>
  <si>
    <t>https://tinyurl.com/yy7ya4g9/BE/942_bdg_erw.kml</t>
  </si>
  <si>
    <t>https://tinyurl.com/yy7ya4g9/BE/943_bdg_erw.kml</t>
  </si>
  <si>
    <t>https://tinyurl.com/yy7ya4g9/BE/944_bdg_erw.kml</t>
  </si>
  <si>
    <t>https://tinyurl.com/yy7ya4g9/BE/945_bdg_erw.kml</t>
  </si>
  <si>
    <t>https://tinyurl.com/yy7ya4g9/BE/946_bdg_erw.kml</t>
  </si>
  <si>
    <t>https://tinyurl.com/yy7ya4g9/BE/948_bdg_erw.kml</t>
  </si>
  <si>
    <t>https://tinyurl.com/yy7ya4g9/BE/951_bdg_erw.kml</t>
  </si>
  <si>
    <t>https://tinyurl.com/yy7ya4g9/BE/952_bdg_erw.kml</t>
  </si>
  <si>
    <t>https://tinyurl.com/yy7ya4g9/BE/953_bdg_erw.kml</t>
  </si>
  <si>
    <t>https://tinyurl.com/yy7ya4g9/BE/954_bdg_erw.kml</t>
  </si>
  <si>
    <t>https://tinyurl.com/yy7ya4g9/BE/955_bdg_erw.kml</t>
  </si>
  <si>
    <t>https://tinyurl.com/yy7ya4g9/BE/956_bdg_erw.kml</t>
  </si>
  <si>
    <t>https://tinyurl.com/yy7ya4g9/BE/957_bdg_erw.kml</t>
  </si>
  <si>
    <t>https://tinyurl.com/yy7ya4g9/BE/958_bdg_erw.kml</t>
  </si>
  <si>
    <t>https://tinyurl.com/yy7ya4g9/BE/959_bdg_erw.kml</t>
  </si>
  <si>
    <t>https://tinyurl.com/yy7ya4g9/BE/960_bdg_erw.kml</t>
  </si>
  <si>
    <t>https://tinyurl.com/yy7ya4g9/BE/971_bdg_erw.kml</t>
  </si>
  <si>
    <t>https://tinyurl.com/yy7ya4g9/BE/972_bdg_erw.kml</t>
  </si>
  <si>
    <t>https://tinyurl.com/yy7ya4g9/BE/973_bdg_erw.kml</t>
  </si>
  <si>
    <t>https://tinyurl.com/yy7ya4g9/BE/975_bdg_erw.kml</t>
  </si>
  <si>
    <t>https://tinyurl.com/yy7ya4g9/BE/976_bdg_erw.kml</t>
  </si>
  <si>
    <t>https://tinyurl.com/yy7ya4g9/BE/977_bdg_erw.kml</t>
  </si>
  <si>
    <t>https://tinyurl.com/yy7ya4g9/BE/979_bdg_erw.kml</t>
  </si>
  <si>
    <t>https://tinyurl.com/yy7ya4g9/BE/980_bdg_erw.kml</t>
  </si>
  <si>
    <t>https://tinyurl.com/yy7ya4g9/BE/981_bdg_erw.kml</t>
  </si>
  <si>
    <t>https://tinyurl.com/yy7ya4g9/BE/982_bdg_erw.kml</t>
  </si>
  <si>
    <t>https://tinyurl.com/yy7ya4g9/BE/983_bdg_erw.kml</t>
  </si>
  <si>
    <t>https://tinyurl.com/yy7ya4g9/BE/985_bdg_erw.kml</t>
  </si>
  <si>
    <t>https://tinyurl.com/yy7ya4g9/BE/987_bdg_erw.kml</t>
  </si>
  <si>
    <t>https://tinyurl.com/yy7ya4g9/BE/988_bdg_erw.kml</t>
  </si>
  <si>
    <t>https://tinyurl.com/yy7ya4g9/BE/989_bdg_erw.kml</t>
  </si>
  <si>
    <t>https://tinyurl.com/yy7ya4g9/BE/990_bdg_erw.kml</t>
  </si>
  <si>
    <t>https://tinyurl.com/yy7ya4g9/BE/991_bdg_erw.kml</t>
  </si>
  <si>
    <t>https://tinyurl.com/yy7ya4g9/BE/992_bdg_erw.kml</t>
  </si>
  <si>
    <t>https://tinyurl.com/yy7ya4g9/BE/995_bdg_erw.kml</t>
  </si>
  <si>
    <t>31: Kein AV-Umriss für das Gebäude 191952888</t>
  </si>
  <si>
    <t>31: Kein AV-Umriss für das Gebäude 191952889</t>
  </si>
  <si>
    <t>2603459.000 1184600.000</t>
  </si>
  <si>
    <t>2599142.823 1198611.308</t>
  </si>
  <si>
    <t>2596995.225 1199944.252</t>
  </si>
  <si>
    <t>2601836.027 1201433.918</t>
  </si>
  <si>
    <t>2591176.478 1198518.174</t>
  </si>
  <si>
    <t>2599060.267 1200592.877</t>
  </si>
  <si>
    <t>2602077.200 1199675.489</t>
  </si>
  <si>
    <t>2601280.661 1199593.653</t>
  </si>
  <si>
    <t>2601356.908 1199649.423</t>
  </si>
  <si>
    <t>2599030.378 1199426.199</t>
  </si>
  <si>
    <t>2601157.771 1199519.558</t>
  </si>
  <si>
    <t>31: Kein AV-Umriss für das Gebäude 191973674</t>
  </si>
  <si>
    <t>Wohlen b. Bern</t>
  </si>
  <si>
    <t>2600866.000 1200745.000</t>
  </si>
  <si>
    <t>35: überholt im GWR. AV-Umriss schon verknüpft mit dem Gebäude mit EGID 1240516</t>
  </si>
  <si>
    <t>2602880.536 1184342.435</t>
  </si>
  <si>
    <t>31: Kein AV-Umriss für das Gebäude 502115206</t>
  </si>
  <si>
    <t>2609046.326 1222601.921</t>
  </si>
  <si>
    <t>2650535.618 1178055.098</t>
  </si>
  <si>
    <t>2599460.876 1167020.623</t>
  </si>
  <si>
    <t>31: Kein AV-Umriss für das Gebäude 1343268</t>
  </si>
  <si>
    <t>43: Gebäude 191009391 verknüpft, aber die Kategorie ist '1010 provisorische Unterkunft'</t>
  </si>
  <si>
    <t>2599499.000 1209878.000</t>
  </si>
  <si>
    <t>2603189.000 1216697.000</t>
  </si>
  <si>
    <t>2605682.822 1216040.218</t>
  </si>
  <si>
    <t>2632315.000 1168529.000</t>
  </si>
  <si>
    <t>2591392.687 1221763.375</t>
  </si>
  <si>
    <t>2607481.000 1161021.000</t>
  </si>
  <si>
    <t>2610073.000 1161272.000</t>
  </si>
  <si>
    <t>2609550.000 1161590.000</t>
  </si>
  <si>
    <t>2609397.198 1164296.222</t>
  </si>
  <si>
    <t>2604124.720 1157696.930</t>
  </si>
  <si>
    <t>2611628.000 1164648.000</t>
  </si>
  <si>
    <t>2607467.000 1160981.000</t>
  </si>
  <si>
    <t>2607425.000 1161003.000</t>
  </si>
  <si>
    <t>2605998.000 1160228.000</t>
  </si>
  <si>
    <t>2607200.000 1161674.000</t>
  </si>
  <si>
    <t>2604965.000 1154953.000</t>
  </si>
  <si>
    <t>2602767.000 1160978.000</t>
  </si>
  <si>
    <t>2604585.000 1160098.000</t>
  </si>
  <si>
    <t>2612029.924 1166389.808</t>
  </si>
  <si>
    <t>2612461.931 1168221.794</t>
  </si>
  <si>
    <t>2607079.721 1154027.980</t>
  </si>
  <si>
    <t>2609434.000 1162090.000</t>
  </si>
  <si>
    <t>2607942.426 1187638.136</t>
  </si>
  <si>
    <t>2607966.424 1187679.716</t>
  </si>
  <si>
    <t>2607978.443 1187700.516</t>
  </si>
  <si>
    <t>2607983.783 1187605.468</t>
  </si>
  <si>
    <t>2607908.790 1188036.326</t>
  </si>
  <si>
    <t>2608819.479 1187331.580</t>
  </si>
  <si>
    <t>2603702.000 1188018.000</t>
  </si>
  <si>
    <t>2598303.823 1185638.026</t>
  </si>
  <si>
    <t>2602484.995 1185364.973</t>
  </si>
  <si>
    <t>2602492.009 1187015.975</t>
  </si>
  <si>
    <t>2602074.997 1185383.975</t>
  </si>
  <si>
    <t>2597109.025 1187444.023</t>
  </si>
  <si>
    <t>2597042.029 1188427.021</t>
  </si>
  <si>
    <t>2600385.000 1185635.000</t>
  </si>
  <si>
    <t>2600000.000 1185680.000</t>
  </si>
  <si>
    <t>2600165.000 1188270.000</t>
  </si>
  <si>
    <t>2600730.000 1185460.000</t>
  </si>
  <si>
    <t>2628479.490 1199635.500</t>
  </si>
  <si>
    <t>2626907.000 1177252.000</t>
  </si>
  <si>
    <t>2621559.084 1179160.886</t>
  </si>
  <si>
    <t>2620707.000 1173460.000</t>
  </si>
  <si>
    <t>2622120.000 1176617.000</t>
  </si>
  <si>
    <t>2620769.000 1176072.000</t>
  </si>
  <si>
    <t>2619450.000 1174017.000</t>
  </si>
  <si>
    <t>2612663.264 1178972.153</t>
  </si>
  <si>
    <t>2618767.750 1205785.750</t>
  </si>
  <si>
    <t>2616455.750 1207662.625</t>
  </si>
  <si>
    <t>2619524.000 1226405.000</t>
  </si>
  <si>
    <t>2619203.000 1226546.000</t>
  </si>
  <si>
    <t>2616398.000 1231831.000</t>
  </si>
  <si>
    <t>2615882.500 1231420.375</t>
  </si>
  <si>
    <t>31: Kein AV-Umriss für das Gebäude 191978828</t>
  </si>
  <si>
    <t>31: Kein AV-Umriss für das Gebäude 191957540</t>
  </si>
  <si>
    <t>31: Kein AV-Umriss für das Gebäude 1392017</t>
  </si>
  <si>
    <t>31: Kein AV-Umriss für das Gebäude 190185189</t>
  </si>
  <si>
    <t>31: Kein AV-Umriss für das Gebäude 190691669</t>
  </si>
  <si>
    <t>31: Kein AV-Umriss für das Gebäude 190855773</t>
  </si>
  <si>
    <t>31: Kein AV-Umriss für das Gebäude 191127990</t>
  </si>
  <si>
    <t>31: Kein AV-Umriss für das Gebäude 191128232</t>
  </si>
  <si>
    <t>31: Kein AV-Umriss für das Gebäude 191135196</t>
  </si>
  <si>
    <t>31: Kein AV-Umriss für das Gebäude 191135197</t>
  </si>
  <si>
    <t>31: Kein AV-Umriss für das Gebäude 191136121</t>
  </si>
  <si>
    <t>31: Kein AV-Umriss für das Gebäude 191136151</t>
  </si>
  <si>
    <t>31: Kein AV-Umriss für das Gebäude 191136252</t>
  </si>
  <si>
    <t>31: Kein AV-Umriss für das Gebäude 191140192</t>
  </si>
  <si>
    <t>31: Kein AV-Umriss für das Gebäude 191140991</t>
  </si>
  <si>
    <t>31: Kein AV-Umriss für das Gebäude 191387570</t>
  </si>
  <si>
    <t>31: Kein AV-Umriss für das Gebäude 191636233</t>
  </si>
  <si>
    <t>31: Kein AV-Umriss für das Gebäude 191668636</t>
  </si>
  <si>
    <t>31: Kein AV-Umriss für das Gebäude 191981933</t>
  </si>
  <si>
    <t>31: Kein AV-Umriss für das Gebäude 1414538</t>
  </si>
  <si>
    <t>31: Kein AV-Umriss für das Gebäude 191300771</t>
  </si>
  <si>
    <t>31: Kein AV-Umriss für das Gebäude 191506692</t>
  </si>
  <si>
    <t>31: Kein AV-Umriss für das Gebäude 191574094</t>
  </si>
  <si>
    <t>31: Kein AV-Umriss für das Gebäude 191574134</t>
  </si>
  <si>
    <t>31: Kein AV-Umriss für das Gebäude 191612313</t>
  </si>
  <si>
    <t>31: Kein AV-Umriss für das Gebäude 191781031</t>
  </si>
  <si>
    <t>31: Kein AV-Umriss für das Gebäude 191843665</t>
  </si>
  <si>
    <t>31: Kein AV-Umriss für das Gebäude 191849446</t>
  </si>
  <si>
    <t>31: Kein AV-Umriss für das Gebäude 191866288</t>
  </si>
  <si>
    <t>31: Kein AV-Umriss für das Gebäude 1762566</t>
  </si>
  <si>
    <t>31: Kein AV-Umriss für das Gebäude 190599948</t>
  </si>
  <si>
    <t>31: Kein AV-Umriss für das Gebäude 190599950</t>
  </si>
  <si>
    <t>31: Kein AV-Umriss für das Gebäude 191575882</t>
  </si>
  <si>
    <t>31: Kein AV-Umriss für das Gebäude 191729351</t>
  </si>
  <si>
    <t>31: Kein AV-Umriss für das Gebäude 191875019</t>
  </si>
  <si>
    <t>31: Kein AV-Umriss für das Gebäude 191982335</t>
  </si>
  <si>
    <t>31: Kein AV-Umriss für das Gebäude 191959258</t>
  </si>
  <si>
    <t>31: Kein AV-Umriss für das Gebäude 191963979</t>
  </si>
  <si>
    <t>31: Kein AV-Umriss für das Gebäude 191964346</t>
  </si>
  <si>
    <t>31: Kein AV-Umriss für das Gebäude 191983632</t>
  </si>
  <si>
    <t>35: überholt im GWR. AV-Umriss schon verknüpft mit dem Gebäude mit EGID 502122157</t>
  </si>
  <si>
    <t>35: überholt im GWR. AV-Umriss schon verknüpft mit dem Gebäude mit EGID 1326987</t>
  </si>
  <si>
    <t>35: überholt im GWR. AV-Umriss schon verknüpft mit dem Gebäude mit EGID 502085207</t>
  </si>
  <si>
    <t>35: überholt im GWR. AV-Umriss schon verknüpft mit dem Gebäude mit EGID 101033305</t>
  </si>
  <si>
    <t>35: überholt im GWR. AV-Umriss schon verknüpft mit dem Gebäude mit EGID 101033253</t>
  </si>
  <si>
    <t>35: überholt im GWR. AV-Umriss schon verknüpft mit dem Gebäude mit EGID 101305952</t>
  </si>
  <si>
    <t>35: überholt im GWR. AV-Umriss schon verknüpft mit dem Gebäude mit EGID 191246030</t>
  </si>
  <si>
    <t>35: überholt im GWR. AV-Umriss schon verknüpft mit dem Gebäude mit EGID 191982038</t>
  </si>
  <si>
    <t>35: überholt im GWR. AV-Umriss schon verknüpft mit dem Gebäude mit EGID 1411647</t>
  </si>
  <si>
    <t>35: überholt im GWR. AV-Umriss schon verknüpft mit dem Gebäude mit EGID 502100151</t>
  </si>
  <si>
    <t>35: überholt im GWR. AV-Umriss schon verknüpft mit dem Gebäude mit EGID 502104915</t>
  </si>
  <si>
    <t>35: überholt im GWR. AV-Umriss schon verknüpft mit dem Gebäude mit EGID 504042971</t>
  </si>
  <si>
    <t>2609322.000 1191628.000</t>
  </si>
  <si>
    <t>31: Kein AV-Umriss für das Gebäude 191957710</t>
  </si>
  <si>
    <t>2586721.570 1209883.700</t>
  </si>
  <si>
    <t>2586729.500 1209890.810</t>
  </si>
  <si>
    <t>2586730.110 1209863.370</t>
  </si>
  <si>
    <t>2586386.250 1209776.500</t>
  </si>
  <si>
    <t>2626261.316 1226764.817</t>
  </si>
  <si>
    <t>2594308.000 1224886.000</t>
  </si>
  <si>
    <t>2592103.000 1225146.000</t>
  </si>
  <si>
    <t>2612919.750 1208440.375</t>
  </si>
  <si>
    <t>2628831.881 1171775.635</t>
  </si>
  <si>
    <t>2631348.379 1169086.832</t>
  </si>
  <si>
    <t>2633666.000 1169101.000</t>
  </si>
  <si>
    <t>2634006.000 1169182.000</t>
  </si>
  <si>
    <t>2633064.000 1169814.000</t>
  </si>
  <si>
    <t>2631503.000 1170827.000</t>
  </si>
  <si>
    <t>2630660.000 1170459.000</t>
  </si>
  <si>
    <t>2585593.541 1215404.250</t>
  </si>
  <si>
    <t>2605078.460 1191859.260</t>
  </si>
  <si>
    <t>2603716.000 1184716.000</t>
  </si>
  <si>
    <t>2606641.000 1181931.000</t>
  </si>
  <si>
    <t>2618805.000 1178217.000</t>
  </si>
  <si>
    <t>2617585.000 1177438.000</t>
  </si>
  <si>
    <t>2617607.375 1177804.000</t>
  </si>
  <si>
    <t>2616849.000 1176367.000</t>
  </si>
  <si>
    <t>2619945.465 1197287.099</t>
  </si>
  <si>
    <t>2620998.069 1173606.872</t>
  </si>
  <si>
    <t>52: Der AV-EGID 1230577ist nicht kohärent mit dem GWR-EGID 191990142&lt;/br&gt;52: Der AV-EGID 191990142ist nicht kohärent mit dem GWR-EGID 1230577&lt;/br&gt;62: 2 GWR-Gebäude (191990142, 191990273) innerhalb des gleichen AV-Gebäudes</t>
  </si>
  <si>
    <t>12: Verknüpft mit EGID 191990273 in der gleiche Gemeinde&lt;/br&gt;52: Der AV-EGID 1230577ist nicht kohärent mit dem GWR-EGID 191990273&lt;/br&gt;62: 2 GWR-Gebäude (191990142, 191990273) innerhalb des gleichen AV-Gebäudes</t>
  </si>
  <si>
    <t>31: Kein AV-Umriss für das Gebäude 191948391</t>
  </si>
  <si>
    <t>31: Kein AV-Umriss für das Gebäude 191975406</t>
  </si>
  <si>
    <t>31: Kein AV-Umriss für das Gebäude 190202195</t>
  </si>
  <si>
    <t>31: Kein AV-Umriss für das Gebäude 191981897</t>
  </si>
  <si>
    <t>31: Kein AV-Umriss für das Gebäude 191997461</t>
  </si>
  <si>
    <t>31: Kein AV-Umriss für das Gebäude 191580734</t>
  </si>
  <si>
    <t>31: Kein AV-Umriss für das Gebäude 191675365</t>
  </si>
  <si>
    <t>31: Kein AV-Umriss für das Gebäude 191956575</t>
  </si>
  <si>
    <t>31: Kein AV-Umriss für das Gebäude 191973698</t>
  </si>
  <si>
    <t>31: Kein AV-Umriss für das Gebäude 191989221</t>
  </si>
  <si>
    <t>31: Kein AV-Umriss für das Gebäude 191946460</t>
  </si>
  <si>
    <t>31: Kein AV-Umriss für das Gebäude 190424494</t>
  </si>
  <si>
    <t>31: Kein AV-Umriss für das Gebäude 190428253</t>
  </si>
  <si>
    <t>31: Kein AV-Umriss für das Gebäude 191989220</t>
  </si>
  <si>
    <t>31: Kein AV-Umriss für das Gebäude 191884863</t>
  </si>
  <si>
    <t>35: überholt im GWR. AV-Umriss schon verknüpft mit dem Gebäude mit EGID 1250959</t>
  </si>
  <si>
    <t>35: überholt im GWR. AV-Umriss schon verknüpft mit dem Gebäude mit EGID 191964733</t>
  </si>
  <si>
    <t>35: überholt im GWR. AV-Umriss schon verknüpft mit dem Gebäude mit EGID 191810496</t>
  </si>
  <si>
    <t>35: überholt im GWR. AV-Umriss schon verknüpft mit dem Gebäude mit EGID 1340867</t>
  </si>
  <si>
    <t>35: überholt im GWR. AV-Umriss schon verknüpft mit dem Gebäude mit EGID 1351794</t>
  </si>
  <si>
    <t>35: überholt im GWR. AV-Umriss schon verknüpft mit dem Gebäude mit EGID 191891417</t>
  </si>
  <si>
    <t>35: überholt im GWR. AV-Umriss schon verknüpft mit dem Gebäude mit EGID 1408799</t>
  </si>
  <si>
    <t>35: überholt im GWR. AV-Umriss schon verknüpft mit dem Gebäude mit EGID 190011998</t>
  </si>
  <si>
    <t>2592830.000 1202675.000</t>
  </si>
  <si>
    <t>2611730.000 1190140.000</t>
  </si>
  <si>
    <t>31: Kein AV-Umriss für das Gebäude 191999453</t>
  </si>
  <si>
    <t>35: überholt im GWR. AV-Umriss schon verknüpft mit dem Gebäude mit EGID 1355094</t>
  </si>
  <si>
    <t>751</t>
  </si>
  <si>
    <t>Holzweid</t>
  </si>
  <si>
    <t>1c</t>
  </si>
  <si>
    <t>Telefonmast</t>
  </si>
  <si>
    <t>CH907835444605</t>
  </si>
  <si>
    <t>2593446.000 1208290.000</t>
  </si>
  <si>
    <t>2622922.000 1229183.000</t>
  </si>
  <si>
    <t>2615331.000 1210869.000</t>
  </si>
  <si>
    <t>2615340.000 1210876.000</t>
  </si>
  <si>
    <t>2613513.000 1212642.000</t>
  </si>
  <si>
    <t>2627559.869 1165906.990</t>
  </si>
  <si>
    <t>2642176.000 1178110.000</t>
  </si>
  <si>
    <t>2642178.000 1178110.000</t>
  </si>
  <si>
    <t>2638880.000 1175287.000</t>
  </si>
  <si>
    <t>2639144.000 1175624.000</t>
  </si>
  <si>
    <t>2639167.000 1175650.250</t>
  </si>
  <si>
    <t>2610724.500 1197008.875</t>
  </si>
  <si>
    <t>2604824.987 1185280.961</t>
  </si>
  <si>
    <t>2605851.250 1184779.625</t>
  </si>
  <si>
    <t>31: Kein AV-Umriss für das Gebäude 191999505</t>
  </si>
  <si>
    <t>31: Kein AV-Umriss für das Gebäude 191865006</t>
  </si>
  <si>
    <t>31: Kein AV-Umriss für das Gebäude 191846486</t>
  </si>
  <si>
    <t>31: Kein AV-Umriss für das Gebäude 191846487</t>
  </si>
  <si>
    <t>31: Kein AV-Umriss für das Gebäude 191385352</t>
  </si>
  <si>
    <t>31: Kein AV-Umriss für das Gebäude 191864874</t>
  </si>
  <si>
    <t>31: Kein AV-Umriss für das Gebäude 191864904</t>
  </si>
  <si>
    <t>31: Kein AV-Umriss für das Gebäude 191910322</t>
  </si>
  <si>
    <t>31: Kein AV-Umriss für das Gebäude 190649911</t>
  </si>
  <si>
    <t>35: überholt im GWR. AV-Umriss schon verknüpft mit dem Gebäude mit EGID 504062076</t>
  </si>
  <si>
    <t>35: überholt im GWR. AV-Umriss schon verknüpft mit dem Gebäude mit EGID 1413187</t>
  </si>
  <si>
    <t>2591017.000 1216464.000</t>
  </si>
  <si>
    <t>2615474.000 1187378.000</t>
  </si>
  <si>
    <t>2604702.418 1182117.277</t>
  </si>
  <si>
    <t>2609629.198 1184407.160</t>
  </si>
  <si>
    <t>2608511.500 1183717.750</t>
  </si>
  <si>
    <t>2608411.250 1185124.875</t>
  </si>
  <si>
    <t>2608039.000 1184985.000</t>
  </si>
  <si>
    <t>2609113.000 1185061.000</t>
  </si>
  <si>
    <t>2605933.000 1188046.000</t>
  </si>
  <si>
    <t>2605917.000 1188060.000</t>
  </si>
  <si>
    <t>2606635.000 1187971.000</t>
  </si>
  <si>
    <t>2606309.000 1188070.000</t>
  </si>
  <si>
    <t>2607671.000 1185687.000</t>
  </si>
  <si>
    <t>2606311.000 1188584.000</t>
  </si>
  <si>
    <t>2607877.000 1183432.000</t>
  </si>
  <si>
    <t>2605969.000 1188959.000</t>
  </si>
  <si>
    <t>31: Kein AV-Umriss für das Gebäude 191999868</t>
  </si>
  <si>
    <t>31: Kein AV-Umriss für das Gebäude 1412912</t>
  </si>
  <si>
    <t>31: Kein AV-Umriss für das Gebäude 191966710</t>
  </si>
  <si>
    <t>31: Kein AV-Umriss für das Gebäude 191985837</t>
  </si>
  <si>
    <t>31: Kein AV-Umriss für das Gebäude 191996578</t>
  </si>
  <si>
    <t>31: Kein AV-Umriss für das Gebäude 191996581</t>
  </si>
  <si>
    <t>31: Kein AV-Umriss für das Gebäude 191996582</t>
  </si>
  <si>
    <t>31: Kein AV-Umriss für das Gebäude 191996583</t>
  </si>
  <si>
    <t>31: Kein AV-Umriss für das Gebäude 191996586</t>
  </si>
  <si>
    <t>31: Kein AV-Umriss für das Gebäude 191996592</t>
  </si>
  <si>
    <t>31: Kein AV-Umriss für das Gebäude 191996594</t>
  </si>
  <si>
    <t>31: Kein AV-Umriss für das Gebäude 191996599</t>
  </si>
  <si>
    <t>31: Kein AV-Umriss für das Gebäude 191996601</t>
  </si>
  <si>
    <t>31: Kein AV-Umriss für das Gebäude 191996605</t>
  </si>
  <si>
    <t>35: überholt im GWR. AV-Umriss schon verknüpft mit dem Gebäude mit EGID 1299533</t>
  </si>
  <si>
    <t>35: überholt im GWR. AV-Umriss schon verknüpft mit dem Gebäude mit EGID 191794194</t>
  </si>
  <si>
    <t>2601709.000 1225949.000</t>
  </si>
  <si>
    <t>2602062.250 1224698.125</t>
  </si>
  <si>
    <t>2597335.000 1222137.000</t>
  </si>
  <si>
    <t>2597546.000 1222795.000</t>
  </si>
  <si>
    <t>2616372.708 1198779.250</t>
  </si>
  <si>
    <t>2596794.452 1180757.926</t>
  </si>
  <si>
    <t>2597753.316 1181079.971</t>
  </si>
  <si>
    <t>2595024.701 1180475.653</t>
  </si>
  <si>
    <t>2595098.307 1187155.810</t>
  </si>
  <si>
    <t>2633787.000 1199081.500</t>
  </si>
  <si>
    <t>2626815.000 1176955.000</t>
  </si>
  <si>
    <t>2613531.875 1177019.313</t>
  </si>
  <si>
    <t>2606726.000 1178687.000</t>
  </si>
  <si>
    <t>2618827.000 1230725.125</t>
  </si>
  <si>
    <t>2615866.250 1231187.625</t>
  </si>
  <si>
    <t>31: Kein AV-Umriss für das Gebäude 191952381</t>
  </si>
  <si>
    <t>31: Kein AV-Umriss für das Gebäude 191994451</t>
  </si>
  <si>
    <t>31: Kein AV-Umriss für das Gebäude 191910324</t>
  </si>
  <si>
    <t>31: Kein AV-Umriss für das Gebäude 191957482</t>
  </si>
  <si>
    <t>31: Kein AV-Umriss für das Gebäude 191975051</t>
  </si>
  <si>
    <t>31: Kein AV-Umriss für das Gebäude 191988405</t>
  </si>
  <si>
    <t>31: Kein AV-Umriss für das Gebäude 192000611</t>
  </si>
  <si>
    <t>31: Kein AV-Umriss für das Gebäude 191263330</t>
  </si>
  <si>
    <t>31: Kein AV-Umriss für das Gebäude 191957749</t>
  </si>
  <si>
    <t>31: Kein AV-Umriss für das Gebäude 191957910</t>
  </si>
  <si>
    <t>31: Kein AV-Umriss für das Gebäude 191989999</t>
  </si>
  <si>
    <t>31: Kein AV-Umriss für das Gebäude 191984865</t>
  </si>
  <si>
    <t>31: Kein AV-Umriss für das Gebäude 192001018</t>
  </si>
  <si>
    <t>35: überholt im GWR. AV-Umriss schon verknüpft mit dem Gebäude mit EGID 191968704</t>
  </si>
  <si>
    <t>35: überholt im GWR. AV-Umriss schon verknüpft mit dem Gebäude mit EGID 191999765</t>
  </si>
  <si>
    <t>2613775.000 1211179.000</t>
  </si>
  <si>
    <t>2639216.000 1166209.000</t>
  </si>
  <si>
    <t>2629731.092 1165721.676</t>
  </si>
  <si>
    <t>2589821.287 1217924.558</t>
  </si>
  <si>
    <t>2594989.019 1180445.880</t>
  </si>
  <si>
    <t>2618794.000 1205845.000</t>
  </si>
  <si>
    <t>31: Kein AV-Umriss für das Gebäude 191949766</t>
  </si>
  <si>
    <t>31: Kein AV-Umriss für das Gebäude 191221797</t>
  </si>
  <si>
    <t>31: Kein AV-Umriss für das Gebäude 191645905</t>
  </si>
  <si>
    <t>31: Kein AV-Umriss für das Gebäude 190197418</t>
  </si>
  <si>
    <t>31: Kein AV-Umriss für das Gebäude 192000612</t>
  </si>
  <si>
    <t>31: Kein AV-Umriss für das Gebäude 191882445</t>
  </si>
  <si>
    <t>2588252.000 1211116.000</t>
  </si>
  <si>
    <t>2588273.000 1211118.000</t>
  </si>
  <si>
    <t>2588281.000 1211123.000</t>
  </si>
  <si>
    <t>2625768.750 1230623.875</t>
  </si>
  <si>
    <t>2614266.000 1212161.000</t>
  </si>
  <si>
    <t>2580198.500 1208566.375</t>
  </si>
  <si>
    <t>2634693.152 1168058.736</t>
  </si>
  <si>
    <t>2634941.150 1168086.747</t>
  </si>
  <si>
    <t>2634829.149 1168033.743</t>
  </si>
  <si>
    <t>2634749.000 1166377.000</t>
  </si>
  <si>
    <t>2634818.000 1155065.000</t>
  </si>
  <si>
    <t>2619676.500 1188854.750</t>
  </si>
  <si>
    <t>2589032.250 1218485.250</t>
  </si>
  <si>
    <t>2599037.024 1187777.008</t>
  </si>
  <si>
    <t>2605494.000 1183540.000</t>
  </si>
  <si>
    <t>2620972.000 1173496.000</t>
  </si>
  <si>
    <t>31: Kein AV-Umriss für das Gebäude 191996526&lt;/br&gt;33: Das Gebäude 191996526 has GSTAT '1003 im Bau'</t>
  </si>
  <si>
    <t>31: Kein AV-Umriss für das Gebäude 192000710&lt;/br&gt;33: Das Gebäude 192000710 has GSTAT '1003 im Bau'</t>
  </si>
  <si>
    <t>31: Kein AV-Umriss für das Gebäude 191969220</t>
  </si>
  <si>
    <t>31: Kein AV-Umriss für das Gebäude 191873170&lt;/br&gt;33: Das Gebäude 191873170 has GSTAT '1003 im Bau'</t>
  </si>
  <si>
    <t>31: Kein AV-Umriss für das Gebäude 191957196&lt;/br&gt;33: Das Gebäude 191957196 has GSTAT '1003 im Bau'</t>
  </si>
  <si>
    <t>31: Kein AV-Umriss für das Gebäude 191961833&lt;/br&gt;33: Das Gebäude 191961833 has GSTAT '1003 im Bau'</t>
  </si>
  <si>
    <t>31: Kein AV-Umriss für das Gebäude 191890633&lt;/br&gt;33: Das Gebäude 191890633 has GSTAT '1003 im Bau'</t>
  </si>
  <si>
    <t>31: Kein AV-Umriss für das Gebäude 191855211&lt;/br&gt;33: Das Gebäude 191855211 has GSTAT '1003 im Bau'</t>
  </si>
  <si>
    <t>35: überholt im GWR. AV-Umriss schon verknüpft mit dem Gebäude mit EGID 191969173</t>
  </si>
  <si>
    <t>35: überholt im GWR. AV-Umriss schon verknüpft mit dem Gebäude mit EGID 191969179</t>
  </si>
  <si>
    <t>35: überholt im GWR. AV-Umriss schon verknüpft mit dem Gebäude mit EGID 191969178</t>
  </si>
  <si>
    <t>2593688.000 1223339.000</t>
  </si>
  <si>
    <t>2593045.500 1223078.500</t>
  </si>
  <si>
    <t>31: Kein AV-Umriss für das Gebäude 191960455</t>
  </si>
  <si>
    <t>35: überholt im GWR. AV-Umriss schon verknüpft mit dem Gebäude mit EGID 1301853</t>
  </si>
  <si>
    <t>2621806.500 1183749.875</t>
  </si>
  <si>
    <t>2623360.750 1216387.250</t>
  </si>
  <si>
    <t>31: Kein AV-Umriss für das Gebäude 191991191</t>
  </si>
  <si>
    <t>31: Kein AV-Umriss für das Gebäude 192003920</t>
  </si>
  <si>
    <t>2588875.000 1213242.000</t>
  </si>
  <si>
    <t>2587841.750 1215135.625</t>
  </si>
  <si>
    <t>2577269.255 1218611.316</t>
  </si>
  <si>
    <t>2582921.000 1212970.000</t>
  </si>
  <si>
    <t>2595400.000 1174825.000</t>
  </si>
  <si>
    <t>2610324.530 1180149.568</t>
  </si>
  <si>
    <t>2614022.923 1211731.629</t>
  </si>
  <si>
    <t>2614048.782 1211772.610</t>
  </si>
  <si>
    <t>31: Kein AV-Umriss für das Gebäude 191969919</t>
  </si>
  <si>
    <t>31: Kein AV-Umriss für das Gebäude 192004411</t>
  </si>
  <si>
    <t>31: Kein AV-Umriss für das Gebäude 191892560</t>
  </si>
  <si>
    <t>31: Kein AV-Umriss für das Gebäude 192004634</t>
  </si>
  <si>
    <t>35: überholt im GWR. AV-Umriss schon verknüpft mit dem Gebäude mit EGID 191869780</t>
  </si>
  <si>
    <t>35: überholt im GWR. AV-Umriss schon verknüpft mit dem Gebäude mit EGID 191978371</t>
  </si>
  <si>
    <t>2647709.750 1178934.625</t>
  </si>
  <si>
    <t>31: Kein AV-Umriss für das Gebäude 191970474</t>
  </si>
  <si>
    <t>2605770.543 1214443.103</t>
  </si>
  <si>
    <t>35: überholt im GWR. AV-Umriss schon verknüpft mit dem Gebäude mit EGID 191970107</t>
  </si>
  <si>
    <t>25</t>
  </si>
  <si>
    <t>2606020.000 1197836.000</t>
  </si>
  <si>
    <t>2610825.200 1203179.700</t>
  </si>
  <si>
    <t>2632110.000 1174880.000</t>
  </si>
  <si>
    <t>2630686.000 1218594.000</t>
  </si>
  <si>
    <t>31: Kein AV-Umriss für das Gebäude 191954075</t>
  </si>
  <si>
    <t>31: Kein AV-Umriss für das Gebäude 191715753</t>
  </si>
  <si>
    <t>31: Kein AV-Umriss für das Gebäude 191875808</t>
  </si>
  <si>
    <t>31: Kein AV-Umriss für das Gebäude 192005368</t>
  </si>
  <si>
    <t xml:space="preserve">14: AV-Gebäude verknüpft mit EGID 1267404, but status is 'abgebrochen / aufgehoben'&lt;/br&gt;42: die Kategorie 1020 ist mit dem Topic Einzelobjekte der AV nicht kohärent </t>
  </si>
  <si>
    <t>Dorfgasse</t>
  </si>
  <si>
    <t>6a</t>
  </si>
  <si>
    <t>Fabrikationshalle</t>
  </si>
  <si>
    <t>CH273528894686</t>
  </si>
  <si>
    <t>380</t>
  </si>
  <si>
    <t>2572140.000 1208043.000</t>
  </si>
  <si>
    <t>2609787.000 1187224.000</t>
  </si>
  <si>
    <t>31: Kein AV-Umriss für das Gebäude 191965207&lt;/br&gt;33: Das Gebäude 191965207 has GSTAT '1003 im Bau'</t>
  </si>
  <si>
    <t>31: Kein AV-Umriss für das Gebäude 191951622</t>
  </si>
  <si>
    <t>35: überholt im GWR. AV-Umriss schon verknüpft mit dem Gebäude mit EGID 191697332</t>
  </si>
  <si>
    <t>2607183.000 1201001.250</t>
  </si>
  <si>
    <t>2622283.750 1167775.000</t>
  </si>
  <si>
    <t>2582121.750 1213333.375</t>
  </si>
  <si>
    <t>2582133.250 1213340.625</t>
  </si>
  <si>
    <t>31: Kein AV-Umriss für das Gebäude 191988640</t>
  </si>
  <si>
    <t>31: Kein AV-Umriss für das Gebäude 192007454</t>
  </si>
  <si>
    <t>35: überholt im GWR. AV-Umriss schon verknüpft mit dem Gebäude mit EGID 191995146</t>
  </si>
  <si>
    <t>2601243.000 1204696.000</t>
  </si>
  <si>
    <t>2601909.750 1224644.125</t>
  </si>
  <si>
    <t>2613273.750 1212832.875</t>
  </si>
  <si>
    <t>2604773.277 1193021.841</t>
  </si>
  <si>
    <t>2623792.608 1208391.216</t>
  </si>
  <si>
    <t>2623308.000 1208734.000</t>
  </si>
  <si>
    <t>2631518.090 1206245.212</t>
  </si>
  <si>
    <t>31: Kein AV-Umriss für das Gebäude 192008151&lt;/br&gt;33: Das Gebäude 192008151 has GSTAT '1003 im Bau'</t>
  </si>
  <si>
    <t>31: Kein AV-Umriss für das Gebäude 191564437</t>
  </si>
  <si>
    <t>31: Kein AV-Umriss für das Gebäude 191971670</t>
  </si>
  <si>
    <t>35: überholt im GWR. AV-Umriss schon verknüpft mit dem Gebäude mit EGID 191891059</t>
  </si>
  <si>
    <t>35: überholt im GWR. AV-Umriss schon verknüpft mit dem Gebäude mit EGID 191912880</t>
  </si>
  <si>
    <t>35: überholt im GWR. AV-Umriss schon verknüpft mit dem Gebäude mit EGID 190126658</t>
  </si>
  <si>
    <t>35: überholt im GWR. AV-Umriss schon verknüpft mit dem Gebäude mit EGID 1445163</t>
  </si>
  <si>
    <t>721</t>
  </si>
  <si>
    <t>2610491.000 1215527.000</t>
  </si>
  <si>
    <t>31: Kein AV-Umriss für das Gebäude 191970633</t>
  </si>
  <si>
    <t>Malseberg</t>
  </si>
  <si>
    <t>Mobilhome</t>
  </si>
  <si>
    <t>CH913531460292</t>
  </si>
  <si>
    <t>31: Kein AV-Umriss für das Gebäude 191954788</t>
  </si>
  <si>
    <t>2587086.000 1210481.000</t>
  </si>
  <si>
    <t>31: Kein AV-Umriss für das Gebäude 191956632</t>
  </si>
  <si>
    <t>2597818.000 1210813.000</t>
  </si>
  <si>
    <t>2592437.027 1224706.841</t>
  </si>
  <si>
    <t>35: überholt im GWR. AV-Umriss schon verknüpft mit dem Gebäude mit EGID 1255316</t>
  </si>
  <si>
    <t>2602990.000 1197364.000</t>
  </si>
  <si>
    <t>2613238.500 1212870.125</t>
  </si>
  <si>
    <t>2613211.250 1212881.375</t>
  </si>
  <si>
    <t>2613157.000 1212901.625</t>
  </si>
  <si>
    <t>2613119.500 1212915.625</t>
  </si>
  <si>
    <t>2595974.346 1198385.613</t>
  </si>
  <si>
    <t>31: Kein AV-Umriss für das Gebäude 192009068</t>
  </si>
  <si>
    <t>31: Kein AV-Umriss für das Gebäude 192010730&lt;/br&gt;33: Das Gebäude 192010730 has GSTAT '1003 im Bau'</t>
  </si>
  <si>
    <t>31: Kein AV-Umriss für das Gebäude 192011115&lt;/br&gt;33: Das Gebäude 192011115 has GSTAT '1003 im Bau'</t>
  </si>
  <si>
    <t>31: Kein AV-Umriss für das Gebäude 192011237&lt;/br&gt;33: Das Gebäude 192011237 has GSTAT '1003 im Bau'</t>
  </si>
  <si>
    <t>35: überholt im GWR. AV-Umriss schon verknüpft mit dem Gebäude mit EGID 1299970</t>
  </si>
  <si>
    <t>2601510.672 1202935.036</t>
  </si>
  <si>
    <t>2572648.500 1208453.500</t>
  </si>
  <si>
    <t>2600424.787 1208376.270</t>
  </si>
  <si>
    <t>2636630.500 1161991.500</t>
  </si>
  <si>
    <t>31: Kein AV-Umriss für das Gebäude 191656724</t>
  </si>
  <si>
    <t>31: Kein AV-Umriss für das Gebäude 192012918</t>
  </si>
  <si>
    <t>35: überholt im GWR. AV-Umriss schon verknüpft mit dem Gebäude mit EGID 1325527</t>
  </si>
  <si>
    <t>2577538.398 1205290.547</t>
  </si>
  <si>
    <t>2612483.750 1152705.625</t>
  </si>
  <si>
    <t>2612653.500 1152815.125</t>
  </si>
  <si>
    <t>2612650.750 1152812.875</t>
  </si>
  <si>
    <t>2611727.000 1152272.375</t>
  </si>
  <si>
    <t>2611641.750 1152215.875</t>
  </si>
  <si>
    <t>2611553.500 1151910.250</t>
  </si>
  <si>
    <t>2612065.500 1152802.750</t>
  </si>
  <si>
    <t>2612105.000 1152988.375</t>
  </si>
  <si>
    <t>2610636.250 1152663.375</t>
  </si>
  <si>
    <t>2610632.500 1152647.125</t>
  </si>
  <si>
    <t>2610630.500 1152644.875</t>
  </si>
  <si>
    <t>2612592.500 1154133.750</t>
  </si>
  <si>
    <t>2612830.250 1154275.625</t>
  </si>
  <si>
    <t>2612834.500 1154276.375</t>
  </si>
  <si>
    <t>2613380.250 1154316.125</t>
  </si>
  <si>
    <t>2613448.750 1156008.875</t>
  </si>
  <si>
    <t>2613713.500 1155591.750</t>
  </si>
  <si>
    <t>2611304.750 1152593.625</t>
  </si>
  <si>
    <t>2611393.000 1152732.125</t>
  </si>
  <si>
    <t>2611390.750 1152732.625</t>
  </si>
  <si>
    <t>2610460.250 1152859.625</t>
  </si>
  <si>
    <t>2610538.750 1152790.125</t>
  </si>
  <si>
    <t>2610537.500 1152787.875</t>
  </si>
  <si>
    <t>2610536.750 1152785.625</t>
  </si>
  <si>
    <t>2613797.250 1157269.375</t>
  </si>
  <si>
    <t>2665077.309 1167434.030</t>
  </si>
  <si>
    <t>31: Kein AV-Umriss für das Gebäude 192013885</t>
  </si>
  <si>
    <t>31: Kein AV-Umriss für das Gebäude 192013768</t>
  </si>
  <si>
    <t>31: Kein AV-Umriss für das Gebäude 192013772</t>
  </si>
  <si>
    <t>31: Kein AV-Umriss für das Gebäude 192013774</t>
  </si>
  <si>
    <t>31: Kein AV-Umriss für das Gebäude 192013778</t>
  </si>
  <si>
    <t>31: Kein AV-Umriss für das Gebäude 192013780</t>
  </si>
  <si>
    <t>31: Kein AV-Umriss für das Gebäude 192013783</t>
  </si>
  <si>
    <t>31: Kein AV-Umriss für das Gebäude 192013787</t>
  </si>
  <si>
    <t>31: Kein AV-Umriss für das Gebäude 192013791</t>
  </si>
  <si>
    <t>31: Kein AV-Umriss für das Gebäude 192013794</t>
  </si>
  <si>
    <t>31: Kein AV-Umriss für das Gebäude 192013795</t>
  </si>
  <si>
    <t>31: Kein AV-Umriss für das Gebäude 192013796</t>
  </si>
  <si>
    <t>31: Kein AV-Umriss für das Gebäude 192013797</t>
  </si>
  <si>
    <t>31: Kein AV-Umriss für das Gebäude 192013798</t>
  </si>
  <si>
    <t>31: Kein AV-Umriss für das Gebäude 192013799</t>
  </si>
  <si>
    <t>31: Kein AV-Umriss für das Gebäude 192013800</t>
  </si>
  <si>
    <t>31: Kein AV-Umriss für das Gebäude 192013807</t>
  </si>
  <si>
    <t>31: Kein AV-Umriss für das Gebäude 192013808</t>
  </si>
  <si>
    <t>31: Kein AV-Umriss für das Gebäude 192013860</t>
  </si>
  <si>
    <t>31: Kein AV-Umriss für das Gebäude 192013862</t>
  </si>
  <si>
    <t>31: Kein AV-Umriss für das Gebäude 192013863</t>
  </si>
  <si>
    <t>31: Kein AV-Umriss für das Gebäude 192013868</t>
  </si>
  <si>
    <t>31: Kein AV-Umriss für das Gebäude 192013930</t>
  </si>
  <si>
    <t>31: Kein AV-Umriss für das Gebäude 192013931</t>
  </si>
  <si>
    <t>31: Kein AV-Umriss für das Gebäude 192013932</t>
  </si>
  <si>
    <t>31: Kein AV-Umriss für das Gebäude 192013995</t>
  </si>
  <si>
    <t>799</t>
  </si>
  <si>
    <t>Kiental</t>
  </si>
  <si>
    <t>384</t>
  </si>
  <si>
    <t>2586749.000 1210117.000</t>
  </si>
  <si>
    <t>2592713.250 1217240.500</t>
  </si>
  <si>
    <t>2592844.000 1218372.000</t>
  </si>
  <si>
    <t>2613568.500 1185147.250</t>
  </si>
  <si>
    <t>2621687.400 1173533.175</t>
  </si>
  <si>
    <t>31: Kein AV-Umriss für das Gebäude 192002015</t>
  </si>
  <si>
    <t>31: Kein AV-Umriss für das Gebäude 191978193</t>
  </si>
  <si>
    <t>31: Kein AV-Umriss für das Gebäude 192014440</t>
  </si>
  <si>
    <t>31: Kein AV-Umriss für das Gebäude 192014309</t>
  </si>
  <si>
    <t>Prägelweg</t>
  </si>
  <si>
    <t>24</t>
  </si>
  <si>
    <t>3484</t>
  </si>
  <si>
    <t>17</t>
  </si>
  <si>
    <t>4809</t>
  </si>
  <si>
    <t>Steinmattstrasse</t>
  </si>
  <si>
    <t>11a</t>
  </si>
  <si>
    <t>CH280146353165</t>
  </si>
  <si>
    <t>CH564346352861</t>
  </si>
  <si>
    <t>3468</t>
  </si>
  <si>
    <t>Hirsriedweg</t>
  </si>
  <si>
    <t>36</t>
  </si>
  <si>
    <t>Laupen BE</t>
  </si>
  <si>
    <t>CH913577468679</t>
  </si>
  <si>
    <t>715</t>
  </si>
  <si>
    <t>2632974.000 1222270.000</t>
  </si>
  <si>
    <t>2632408.000 1222330.500</t>
  </si>
  <si>
    <t>2628310.050 1220536.462</t>
  </si>
  <si>
    <t>2600901.500 1225062.000</t>
  </si>
  <si>
    <t>2600703.000 1224934.250</t>
  </si>
  <si>
    <t>2615603.000 1221656.000</t>
  </si>
  <si>
    <t>2642300.028 1178159.594</t>
  </si>
  <si>
    <t>2609734.000 1186478.000</t>
  </si>
  <si>
    <t>2584891.000 1196203.250</t>
  </si>
  <si>
    <t>2589737.475 1232099.125</t>
  </si>
  <si>
    <t>2608876.000 1167503.875</t>
  </si>
  <si>
    <t>2608864.000 1167504.125</t>
  </si>
  <si>
    <t>2591466.963 1142488.508</t>
  </si>
  <si>
    <t>2591023.500 1177902.125</t>
  </si>
  <si>
    <t>2607485.000 1181742.000</t>
  </si>
  <si>
    <t>2635617.500 1201675.750</t>
  </si>
  <si>
    <t>2633917.500 1199371.875</t>
  </si>
  <si>
    <t>52: Der AV-EGID 1250923ist nicht kohärent mit dem GWR-EGID 191973887&lt;/br&gt;62: 3 GWR-Gebäude (191973887, 191973888, 191973890) innerhalb des gleichen AV-Gebäudes</t>
  </si>
  <si>
    <t>52: Der AV-EGID 1250923ist nicht kohärent mit dem GWR-EGID 191973888&lt;/br&gt;62: 3 GWR-Gebäude (191973887, 191973888, 191973890) innerhalb des gleichen AV-Gebäudes</t>
  </si>
  <si>
    <t>52: Der AV-EGID 1250923ist nicht kohärent mit dem GWR-EGID 191973890&lt;/br&gt;62: 3 GWR-Gebäude (191973887, 191973888, 191973890) innerhalb des gleichen AV-Gebäudes</t>
  </si>
  <si>
    <t>31: Kein AV-Umriss für das Gebäude 191986824</t>
  </si>
  <si>
    <t>31: Kein AV-Umriss für das Gebäude 191958331</t>
  </si>
  <si>
    <t>31: Kein AV-Umriss für das Gebäude 191970466</t>
  </si>
  <si>
    <t>31: Kein AV-Umriss für das Gebäude 192007227</t>
  </si>
  <si>
    <t>31: Kein AV-Umriss für das Gebäude 192005262</t>
  </si>
  <si>
    <t>31: Kein AV-Umriss für das Gebäude 191764157</t>
  </si>
  <si>
    <t>31: Kein AV-Umriss für das Gebäude 191964399</t>
  </si>
  <si>
    <t>31: Kein AV-Umriss für das Gebäude 191997262&lt;/br&gt;33: Das Gebäude 191997262 has GSTAT '1003 im Bau'</t>
  </si>
  <si>
    <t>35: überholt im GWR. AV-Umriss schon verknüpft mit dem Gebäude mit EGID 502026471</t>
  </si>
  <si>
    <t>35: überholt im GWR. AV-Umriss schon verknüpft mit dem Gebäude mit EGID 191994673</t>
  </si>
  <si>
    <t>35: überholt im GWR. AV-Umriss schon verknüpft mit dem Gebäude mit EGID 191517031</t>
  </si>
  <si>
    <t>35: überholt im GWR. AV-Umriss schon verknüpft mit dem Gebäude mit EGID 191984438</t>
  </si>
  <si>
    <t>35: überholt im GWR. AV-Umriss schon verknüpft mit dem Gebäude mit EGID 1360823</t>
  </si>
  <si>
    <t>35: überholt im GWR. AV-Umriss schon verknüpft mit dem Gebäude mit EGID 502214403</t>
  </si>
  <si>
    <t>35: überholt im GWR. AV-Umriss schon verknüpft mit dem Gebäude mit EGID 502214402</t>
  </si>
  <si>
    <t>35: überholt im GWR. AV-Umriss schon verknüpft mit dem Gebäude mit EGID 191842260</t>
  </si>
  <si>
    <t>35: überholt im GWR. AV-Umriss schon verknüpft mit dem Gebäude mit EGID 1415068</t>
  </si>
  <si>
    <t>35: überholt im GWR. AV-Umriss schon verknüpft mit dem Gebäude mit EGID 191955357</t>
  </si>
  <si>
    <t>2613389.250 1211526.375</t>
  </si>
  <si>
    <t>2632975.500 1171201.875</t>
  </si>
  <si>
    <t>2614273.391 1210786.835</t>
  </si>
  <si>
    <t>35: überholt im GWR. AV-Umriss schon verknüpft mit dem Gebäude mit EGID 192003952</t>
  </si>
  <si>
    <t>14: AV-Gebäude verknüpft mit EGID 504062294, but status is 'abgebrochen / aufgehoben'&lt;/br&gt;42: die Kategorie 1080 ist mit dem Topic Bodenbedeckung der AV nicht kohärent</t>
  </si>
  <si>
    <t>18</t>
  </si>
  <si>
    <t>2630818.750 1223919.000</t>
  </si>
  <si>
    <t>2630822.500 1223921.000</t>
  </si>
  <si>
    <t>2627399.000 1231826.000</t>
  </si>
  <si>
    <t>2629509.000 1231640.000</t>
  </si>
  <si>
    <t>2628555.000 1232706.000</t>
  </si>
  <si>
    <t>2623558.110 1220068.848</t>
  </si>
  <si>
    <t>2625233.000 1220757.125</t>
  </si>
  <si>
    <t>2582048.932 1220837.810</t>
  </si>
  <si>
    <t>2614422.000 1219062.000</t>
  </si>
  <si>
    <t>2611471.750 1213595.625</t>
  </si>
  <si>
    <t>2610823.074 1214667.677</t>
  </si>
  <si>
    <t>2610767.674 1214714.139</t>
  </si>
  <si>
    <t>2613265.000 1221549.000</t>
  </si>
  <si>
    <t>2580566.500 1227488.500</t>
  </si>
  <si>
    <t>2611067.000 1188728.000</t>
  </si>
  <si>
    <t>2576954.750 1214757.250</t>
  </si>
  <si>
    <t>2590569.428 1220469.873</t>
  </si>
  <si>
    <t>2583606.000 1212488.000</t>
  </si>
  <si>
    <t>2584372.189 1212479.651</t>
  </si>
  <si>
    <t>2605329.000 1177934.000</t>
  </si>
  <si>
    <t>2605466.000 1177938.000</t>
  </si>
  <si>
    <t>2605200.000 1180539.000</t>
  </si>
  <si>
    <t>2605619.000 1178163.000</t>
  </si>
  <si>
    <t>2605620.000 1178180.000</t>
  </si>
  <si>
    <t>2604705.000 1179098.000</t>
  </si>
  <si>
    <t>2604707.000 1179095.000</t>
  </si>
  <si>
    <t>2604886.000 1178995.000</t>
  </si>
  <si>
    <t>2604887.000 1178992.000</t>
  </si>
  <si>
    <t>2604982.000 1178831.000</t>
  </si>
  <si>
    <t>2604948.000 1178771.000</t>
  </si>
  <si>
    <t>2605177.000 1178867.000</t>
  </si>
  <si>
    <t>2605237.000 1178964.000</t>
  </si>
  <si>
    <t>2605529.000 1178651.000</t>
  </si>
  <si>
    <t>2605499.000 1178563.000</t>
  </si>
  <si>
    <t>2605611.000 1178391.000</t>
  </si>
  <si>
    <t>2605577.000 1178336.000</t>
  </si>
  <si>
    <t>2605509.000 1178269.000</t>
  </si>
  <si>
    <t>2605497.000 1178242.000</t>
  </si>
  <si>
    <t>2605153.000 1178189.000</t>
  </si>
  <si>
    <t>2613376.650 1176728.140</t>
  </si>
  <si>
    <t>2613425.000 1234975.375</t>
  </si>
  <si>
    <t>31: Kein AV-Umriss für das Gebäude 191960333</t>
  </si>
  <si>
    <t>31: Kein AV-Umriss für das Gebäude 191960334</t>
  </si>
  <si>
    <t>31: Kein AV-Umriss für das Gebäude 191949121</t>
  </si>
  <si>
    <t>31: Kein AV-Umriss für das Gebäude 191956433</t>
  </si>
  <si>
    <t>31: Kein AV-Umriss für das Gebäude 192002599&lt;/br&gt;33: Das Gebäude 192002599 has GSTAT '1003 im Bau'</t>
  </si>
  <si>
    <t>31: Kein AV-Umriss für das Gebäude 190761489</t>
  </si>
  <si>
    <t>31: Kein AV-Umriss für das Gebäude 191891088</t>
  </si>
  <si>
    <t>31: Kein AV-Umriss für das Gebäude 191892189</t>
  </si>
  <si>
    <t>31: Kein AV-Umriss für das Gebäude 1315431</t>
  </si>
  <si>
    <t>31: Kein AV-Umriss für das Gebäude 190091354</t>
  </si>
  <si>
    <t>31: Kein AV-Umriss für das Gebäude 191953918</t>
  </si>
  <si>
    <t>31: Kein AV-Umriss für das Gebäude 191971642&lt;/br&gt;33: Das Gebäude 191971642 has GSTAT '1003 im Bau'</t>
  </si>
  <si>
    <t>31: Kein AV-Umriss für das Gebäude 191989260</t>
  </si>
  <si>
    <t>31: Kein AV-Umriss für das Gebäude 502059403</t>
  </si>
  <si>
    <t>31: Kein AV-Umriss für das Gebäude 192017210</t>
  </si>
  <si>
    <t>31: Kein AV-Umriss für das Gebäude 192017211</t>
  </si>
  <si>
    <t>31: Kein AV-Umriss für das Gebäude 192017226</t>
  </si>
  <si>
    <t>31: Kein AV-Umriss für das Gebäude 192017301</t>
  </si>
  <si>
    <t>31: Kein AV-Umriss für das Gebäude 192017304</t>
  </si>
  <si>
    <t>31: Kein AV-Umriss für das Gebäude 192017307</t>
  </si>
  <si>
    <t>31: Kein AV-Umriss für das Gebäude 192017308</t>
  </si>
  <si>
    <t>31: Kein AV-Umriss für das Gebäude 192017309</t>
  </si>
  <si>
    <t>31: Kein AV-Umriss für das Gebäude 192017310</t>
  </si>
  <si>
    <t>31: Kein AV-Umriss für das Gebäude 192017315</t>
  </si>
  <si>
    <t>31: Kein AV-Umriss für das Gebäude 192017316</t>
  </si>
  <si>
    <t>31: Kein AV-Umriss für das Gebäude 192017335</t>
  </si>
  <si>
    <t>31: Kein AV-Umriss für das Gebäude 192017342</t>
  </si>
  <si>
    <t>31: Kein AV-Umriss für das Gebäude 192017344</t>
  </si>
  <si>
    <t>31: Kein AV-Umriss für das Gebäude 192017349</t>
  </si>
  <si>
    <t>31: Kein AV-Umriss für das Gebäude 192017350</t>
  </si>
  <si>
    <t>31: Kein AV-Umriss für das Gebäude 192017356</t>
  </si>
  <si>
    <t>31: Kein AV-Umriss für das Gebäude 192017359</t>
  </si>
  <si>
    <t>31: Kein AV-Umriss für das Gebäude 192017361</t>
  </si>
  <si>
    <t>31: Kein AV-Umriss für das Gebäude 192017365</t>
  </si>
  <si>
    <t>31: Kein AV-Umriss für das Gebäude 191967182</t>
  </si>
  <si>
    <t>31: Kein AV-Umriss für das Gebäude 191979391</t>
  </si>
  <si>
    <t>35: überholt im GWR. AV-Umriss schon verknüpft mit dem Gebäude mit EGID 191961747</t>
  </si>
  <si>
    <t>35: überholt im GWR. AV-Umriss schon verknüpft mit dem Gebäude mit EGID 502024402</t>
  </si>
  <si>
    <t>35: überholt im GWR. AV-Umriss schon verknüpft mit dem Gebäude mit EGID 504037216</t>
  </si>
  <si>
    <t>2594467.500 1202136.625</t>
  </si>
  <si>
    <t>2612695.000 1212638.000</t>
  </si>
  <si>
    <t>2602197.500 1189971.250</t>
  </si>
  <si>
    <t>2601996.750 1190168.625</t>
  </si>
  <si>
    <t>2602282.500 1189952.375</t>
  </si>
  <si>
    <t>2602051.000 1189868.875</t>
  </si>
  <si>
    <t>2601657.750 1189629.625</t>
  </si>
  <si>
    <t>2601026.000 1189008.250</t>
  </si>
  <si>
    <t>2601060.000 1189021.875</t>
  </si>
  <si>
    <t>2601006.000 1189083.625</t>
  </si>
  <si>
    <t>2603231.500 1189682.125</t>
  </si>
  <si>
    <t>2603049.250 1189040.875</t>
  </si>
  <si>
    <t>2603053.000 1189060.125</t>
  </si>
  <si>
    <t>2600048.500 1189205.375</t>
  </si>
  <si>
    <t>2599911.250 1189425.625</t>
  </si>
  <si>
    <t>2599985.500 1189459.875</t>
  </si>
  <si>
    <t>2601481.500 1189774.375</t>
  </si>
  <si>
    <t>2601282.250 1189522.625</t>
  </si>
  <si>
    <t>2601103.750 1190320.625</t>
  </si>
  <si>
    <t>2601272.500 1190337.375</t>
  </si>
  <si>
    <t>2604981.000 1178185.000</t>
  </si>
  <si>
    <t>2604074.000 1176888.000</t>
  </si>
  <si>
    <t>2605777.000 1179172.000</t>
  </si>
  <si>
    <t>2605789.000 1179180.000</t>
  </si>
  <si>
    <t>2605435.000 1179193.000</t>
  </si>
  <si>
    <t>2605312.000 1179241.000</t>
  </si>
  <si>
    <t>2605238.000 1179156.000</t>
  </si>
  <si>
    <t>2605234.000 1179156.000</t>
  </si>
  <si>
    <t>2605230.000 1179156.000</t>
  </si>
  <si>
    <t>2604949.000 1179412.000</t>
  </si>
  <si>
    <t>2604866.000 1179404.000</t>
  </si>
  <si>
    <t>2604869.000 1179869.000</t>
  </si>
  <si>
    <t>2604562.000 1179240.000</t>
  </si>
  <si>
    <t>31: Kein AV-Umriss für das Gebäude 192017610</t>
  </si>
  <si>
    <t>31: Kein AV-Umriss für das Gebäude 192017711</t>
  </si>
  <si>
    <t>31: Kein AV-Umriss für das Gebäude 192017764</t>
  </si>
  <si>
    <t>31: Kein AV-Umriss für das Gebäude 192017807</t>
  </si>
  <si>
    <t>31: Kein AV-Umriss für das Gebäude 192017808</t>
  </si>
  <si>
    <t>31: Kein AV-Umriss für das Gebäude 192017809</t>
  </si>
  <si>
    <t>31: Kein AV-Umriss für das Gebäude 192017810</t>
  </si>
  <si>
    <t>31: Kein AV-Umriss für das Gebäude 192017812</t>
  </si>
  <si>
    <t>31: Kein AV-Umriss für das Gebäude 192017813</t>
  </si>
  <si>
    <t>31: Kein AV-Umriss für das Gebäude 192017814</t>
  </si>
  <si>
    <t>31: Kein AV-Umriss für das Gebäude 192017815</t>
  </si>
  <si>
    <t>31: Kein AV-Umriss für das Gebäude 192017837</t>
  </si>
  <si>
    <t>31: Kein AV-Umriss für das Gebäude 192017838</t>
  </si>
  <si>
    <t>31: Kein AV-Umriss für das Gebäude 192017839</t>
  </si>
  <si>
    <t>31: Kein AV-Umriss für das Gebäude 192017840</t>
  </si>
  <si>
    <t>31: Kein AV-Umriss für das Gebäude 192017841</t>
  </si>
  <si>
    <t>31: Kein AV-Umriss für das Gebäude 192017842</t>
  </si>
  <si>
    <t>31: Kein AV-Umriss für das Gebäude 192017843</t>
  </si>
  <si>
    <t>31: Kein AV-Umriss für das Gebäude 192017846</t>
  </si>
  <si>
    <t>31: Kein AV-Umriss für das Gebäude 192017696</t>
  </si>
  <si>
    <t>31: Kein AV-Umriss für das Gebäude 192017716</t>
  </si>
  <si>
    <t>31: Kein AV-Umriss für das Gebäude 192017717</t>
  </si>
  <si>
    <t>31: Kein AV-Umriss für das Gebäude 192017739</t>
  </si>
  <si>
    <t>31: Kein AV-Umriss für das Gebäude 192017741</t>
  </si>
  <si>
    <t>31: Kein AV-Umriss für das Gebäude 192017746</t>
  </si>
  <si>
    <t>31: Kein AV-Umriss für das Gebäude 192017747</t>
  </si>
  <si>
    <t>31: Kein AV-Umriss für das Gebäude 192017750</t>
  </si>
  <si>
    <t>31: Kein AV-Umriss für das Gebäude 192017998</t>
  </si>
  <si>
    <t>31: Kein AV-Umriss für das Gebäude 192017999</t>
  </si>
  <si>
    <t>31: Kein AV-Umriss für das Gebäude 192018003</t>
  </si>
  <si>
    <t>31: Kein AV-Umriss für das Gebäude 192018005</t>
  </si>
  <si>
    <t>35: überholt im GWR. AV-Umriss schon verknüpft mit dem Gebäude mit EGID 3139408</t>
  </si>
  <si>
    <t>2628497.000 1233121.000</t>
  </si>
  <si>
    <t>2565967.070 1222209.891</t>
  </si>
  <si>
    <t>2611034.878 1184555.605</t>
  </si>
  <si>
    <t>2586233.000 1218995.000</t>
  </si>
  <si>
    <t>2602148.500 1189827.375</t>
  </si>
  <si>
    <t>2602153.500 1189829.375</t>
  </si>
  <si>
    <t>2602168.500 1189837.125</t>
  </si>
  <si>
    <t>2602172.500 1189839.625</t>
  </si>
  <si>
    <t>2602188.750 1189847.125</t>
  </si>
  <si>
    <t>2602192.500 1189849.125</t>
  </si>
  <si>
    <t>2602158.750 1189809.625</t>
  </si>
  <si>
    <t>2602162.000 1189811.375</t>
  </si>
  <si>
    <t>2602178.000 1189819.125</t>
  </si>
  <si>
    <t>2602181.750 1189821.375</t>
  </si>
  <si>
    <t>2602198.000 1189830.375</t>
  </si>
  <si>
    <t>2602201.000 1189831.625</t>
  </si>
  <si>
    <t>2600855.000 1190670.250</t>
  </si>
  <si>
    <t>2600912.000 1190316.375</t>
  </si>
  <si>
    <t>2600037.000 1189205.125</t>
  </si>
  <si>
    <t>2603029.250 1189065.625</t>
  </si>
  <si>
    <t>2601992.250 1190179.625</t>
  </si>
  <si>
    <t>2603258.831 1183839.204</t>
  </si>
  <si>
    <t>2604427.000 1179515.000</t>
  </si>
  <si>
    <t>2604059.000 1179587.000</t>
  </si>
  <si>
    <t>2604273.000 1179789.000</t>
  </si>
  <si>
    <t>2605451.000 1180514.000</t>
  </si>
  <si>
    <t>2605219.000 1180615.000</t>
  </si>
  <si>
    <t>2604173.000 1180732.000</t>
  </si>
  <si>
    <t>2603531.000 1179605.000</t>
  </si>
  <si>
    <t>2604262.000 1180358.000</t>
  </si>
  <si>
    <t>2605618.000 1178474.000</t>
  </si>
  <si>
    <t>31: Kein AV-Umriss für das Gebäude 192002530&lt;/br&gt;33: Das Gebäude 192002530 has GSTAT '1003 im Bau'</t>
  </si>
  <si>
    <t>31: Kein AV-Umriss für das Gebäude 9052298</t>
  </si>
  <si>
    <t>31: Kein AV-Umriss für das Gebäude 192018569</t>
  </si>
  <si>
    <t>31: Kein AV-Umriss für das Gebäude 192018270</t>
  </si>
  <si>
    <t>31: Kein AV-Umriss für das Gebäude 192018271</t>
  </si>
  <si>
    <t>31: Kein AV-Umriss für das Gebäude 192018272</t>
  </si>
  <si>
    <t>31: Kein AV-Umriss für das Gebäude 192018273</t>
  </si>
  <si>
    <t>31: Kein AV-Umriss für das Gebäude 192018274</t>
  </si>
  <si>
    <t>31: Kein AV-Umriss für das Gebäude 192018275</t>
  </si>
  <si>
    <t>31: Kein AV-Umriss für das Gebäude 192018276</t>
  </si>
  <si>
    <t>31: Kein AV-Umriss für das Gebäude 192018277</t>
  </si>
  <si>
    <t>31: Kein AV-Umriss für das Gebäude 192018278</t>
  </si>
  <si>
    <t>31: Kein AV-Umriss für das Gebäude 192018279</t>
  </si>
  <si>
    <t>31: Kein AV-Umriss für das Gebäude 192018280</t>
  </si>
  <si>
    <t>31: Kein AV-Umriss für das Gebäude 192018281</t>
  </si>
  <si>
    <t>31: Kein AV-Umriss für das Gebäude 192018282</t>
  </si>
  <si>
    <t>31: Kein AV-Umriss für das Gebäude 192018283</t>
  </si>
  <si>
    <t>31: Kein AV-Umriss für das Gebäude 192018284</t>
  </si>
  <si>
    <t>31: Kein AV-Umriss für das Gebäude 192018415</t>
  </si>
  <si>
    <t>31: Kein AV-Umriss für das Gebäude 192018444</t>
  </si>
  <si>
    <t>31: Kein AV-Umriss für das Gebäude 502115094</t>
  </si>
  <si>
    <t>31: Kein AV-Umriss für das Gebäude 192018161</t>
  </si>
  <si>
    <t>31: Kein AV-Umriss für das Gebäude 192018171</t>
  </si>
  <si>
    <t>31: Kein AV-Umriss für das Gebäude 192018172</t>
  </si>
  <si>
    <t>31: Kein AV-Umriss für das Gebäude 192018179</t>
  </si>
  <si>
    <t>31: Kein AV-Umriss für das Gebäude 192018190</t>
  </si>
  <si>
    <t>31: Kein AV-Umriss für das Gebäude 192018192</t>
  </si>
  <si>
    <t>31: Kein AV-Umriss für das Gebäude 192018193</t>
  </si>
  <si>
    <t>31: Kein AV-Umriss für das Gebäude 192018195</t>
  </si>
  <si>
    <t>35: überholt im GWR. AV-Umriss schon verknüpft mit dem Gebäude mit EGID 504001674</t>
  </si>
  <si>
    <t>35: überholt im GWR. AV-Umriss schon verknüpft mit dem Gebäude mit EGID 1416772</t>
  </si>
  <si>
    <t>2623296.466 1229685.644</t>
  </si>
  <si>
    <t>2603309.131 1203177.128</t>
  </si>
  <si>
    <t>2585274.850 1222757.253</t>
  </si>
  <si>
    <t>2605385.000 1178854.000</t>
  </si>
  <si>
    <t>2604264.000 1180354.000</t>
  </si>
  <si>
    <t>2604963.000 1178640.000</t>
  </si>
  <si>
    <t>2604256.000 1176953.000</t>
  </si>
  <si>
    <t>2605383.000 1177974.000</t>
  </si>
  <si>
    <t>2604397.000 1176902.000</t>
  </si>
  <si>
    <t>2621355.250 1182805.500</t>
  </si>
  <si>
    <t>2610907.000 1180688.000</t>
  </si>
  <si>
    <t>31: Kein AV-Umriss für das Gebäude 191885450</t>
  </si>
  <si>
    <t>31: Kein AV-Umriss für das Gebäude 1297220</t>
  </si>
  <si>
    <t>31: Kein AV-Umriss für das Gebäude 192018823</t>
  </si>
  <si>
    <t>31: Kein AV-Umriss für das Gebäude 192018852</t>
  </si>
  <si>
    <t>31: Kein AV-Umriss für das Gebäude 192018861</t>
  </si>
  <si>
    <t>31: Kein AV-Umriss für das Gebäude 192018870</t>
  </si>
  <si>
    <t>31: Kein AV-Umriss für das Gebäude 192018658</t>
  </si>
  <si>
    <t>31: Kein AV-Umriss für das Gebäude 192000743</t>
  </si>
  <si>
    <t>35: überholt im GWR. AV-Umriss schon verknüpft mit dem Gebäude mit EGID 1287758</t>
  </si>
  <si>
    <t>35: überholt im GWR. AV-Umriss schon verknüpft mit dem Gebäude mit EGID 1352387</t>
  </si>
  <si>
    <t>35: überholt im GWR. AV-Umriss schon verknüpft mit dem Gebäude mit EGID 191966531</t>
  </si>
  <si>
    <t>35: überholt im GWR. AV-Umriss schon verknüpft mit dem Gebäude mit EGID 504065199</t>
  </si>
  <si>
    <t>2593775.000 1202184.000</t>
  </si>
  <si>
    <t>2650649.500 1178174.875</t>
  </si>
  <si>
    <t>2650874.250 1178122.125</t>
  </si>
  <si>
    <t>2584737.750 1194345.375</t>
  </si>
  <si>
    <t>2622434.191 1229168.664</t>
  </si>
  <si>
    <t>2614098.159 1211248.883</t>
  </si>
  <si>
    <t>2613780.404 1210774.447</t>
  </si>
  <si>
    <t>2613734.863 1210962.230</t>
  </si>
  <si>
    <t>2612630.629 1212956.408</t>
  </si>
  <si>
    <t>2609478.791 1206723.386</t>
  </si>
  <si>
    <t>2632493.726 1170610.118</t>
  </si>
  <si>
    <t>2593232.379 1193338.362</t>
  </si>
  <si>
    <t>2630517.882 1189699.593</t>
  </si>
  <si>
    <t>2626296.680 1193012.161</t>
  </si>
  <si>
    <t>31: Kein AV-Umriss für das Gebäude 191988725</t>
  </si>
  <si>
    <t>31: Kein AV-Umriss für das Gebäude 192019091</t>
  </si>
  <si>
    <t>2620394.000 1213343.500</t>
  </si>
  <si>
    <t>31: Kein AV-Umriss für das Gebäude 192019592</t>
  </si>
  <si>
    <t>35: überholt im GWR. AV-Umriss schon verknüpft mit dem Gebäude mit EGID 191958627</t>
  </si>
  <si>
    <t>2603342.794 1188715.060</t>
  </si>
  <si>
    <t>2621949.250 1222762.625</t>
  </si>
  <si>
    <t>31: Kein AV-Umriss für das Gebäude 192019959</t>
  </si>
  <si>
    <t>31: Kein AV-Umriss für das Gebäude 192007849</t>
  </si>
  <si>
    <t>35: überholt im GWR. AV-Umriss schon verknüpft mit dem Gebäude mit EGID 192017416</t>
  </si>
  <si>
    <t>2626415.072 1226710.893</t>
  </si>
  <si>
    <t>2626414.828 1226730.455</t>
  </si>
  <si>
    <t>2626407.373 1226652.657</t>
  </si>
  <si>
    <t>2595351.000 1203783.000</t>
  </si>
  <si>
    <t>2586212.367 1221090.049</t>
  </si>
  <si>
    <t>2574788.861 1220273.777</t>
  </si>
  <si>
    <t>2572904.430 1218770.444</t>
  </si>
  <si>
    <t>2572873.097 1218817.111</t>
  </si>
  <si>
    <t>31: Kein AV-Umriss für das Gebäude 1263129</t>
  </si>
  <si>
    <t>31: Kein AV-Umriss für das Gebäude 9013364</t>
  </si>
  <si>
    <t>31: Kein AV-Umriss für das Gebäude 190233628</t>
  </si>
  <si>
    <t>31: Kein AV-Umriss für das Gebäude 192021012</t>
  </si>
  <si>
    <t>31: Kein AV-Umriss für das Gebäude 191897408</t>
  </si>
  <si>
    <t>31: Kein AV-Umriss für das Gebäude 192019024</t>
  </si>
  <si>
    <t>31: Kein AV-Umriss für das Gebäude 192020584</t>
  </si>
  <si>
    <t>35: überholt im GWR. AV-Umriss schon verknüpft mit dem Gebäude mit EGID 504004362</t>
  </si>
  <si>
    <t>35: überholt im GWR. AV-Umriss schon verknüpft mit dem Gebäude mit EGID 190114798</t>
  </si>
  <si>
    <t>2599546.818 1202595.613</t>
  </si>
  <si>
    <t>2633563.278 1171013.476</t>
  </si>
  <si>
    <t>2609675.590 1197746.546</t>
  </si>
  <si>
    <t>2608677.000 1163155.375</t>
  </si>
  <si>
    <t>2622170.000 1178825.000</t>
  </si>
  <si>
    <t>31: Kein AV-Umriss für das Gebäude 1269842</t>
  </si>
  <si>
    <t>31: Kein AV-Umriss für das Gebäude 192002504</t>
  </si>
  <si>
    <t>35: überholt im GWR. AV-Umriss schon verknüpft mit dem Gebäude mit EGID 191984871</t>
  </si>
  <si>
    <t>35: überholt im GWR. AV-Umriss schon verknüpft mit dem Gebäude mit EGID 192014523</t>
  </si>
  <si>
    <t>35: überholt im GWR. AV-Umriss schon verknüpft mit dem Gebäude mit EGID 502085204</t>
  </si>
  <si>
    <t>Gümligentalstrasse</t>
  </si>
  <si>
    <t>22a</t>
  </si>
  <si>
    <t>3159</t>
  </si>
  <si>
    <t>CH194686383579</t>
  </si>
  <si>
    <t>CH613566468884</t>
  </si>
  <si>
    <t>2609789.400 1201158.100</t>
  </si>
  <si>
    <t>2585917.505 1220583.127</t>
  </si>
  <si>
    <t>2584921.078 1220650.268</t>
  </si>
  <si>
    <t>2584964.727 1220936.732</t>
  </si>
  <si>
    <t>2586516.088 1222351.035</t>
  </si>
  <si>
    <t>2589605.000 1216748.500</t>
  </si>
  <si>
    <t>2610386.000 1167423.000</t>
  </si>
  <si>
    <t>2602790.000 1196237.000</t>
  </si>
  <si>
    <t>2604811.386 1185811.046</t>
  </si>
  <si>
    <t>2604802.677 1185816.014</t>
  </si>
  <si>
    <t>2605472.026 1197702.612</t>
  </si>
  <si>
    <t>2605460.059 1197722.816</t>
  </si>
  <si>
    <t>2608986.074 1220037.572</t>
  </si>
  <si>
    <t>31: Kein AV-Umriss für das Gebäude 192021742</t>
  </si>
  <si>
    <t>31: Kein AV-Umriss für das Gebäude 191893445</t>
  </si>
  <si>
    <t>31: Kein AV-Umriss für das Gebäude 191968770</t>
  </si>
  <si>
    <t>31: Kein AV-Umriss für das Gebäude 191104511</t>
  </si>
  <si>
    <t>31: Kein AV-Umriss für das Gebäude 192005752</t>
  </si>
  <si>
    <t>31: Kein AV-Umriss für das Gebäude 1412995</t>
  </si>
  <si>
    <t>31: Kein AV-Umriss für das Gebäude 1412996</t>
  </si>
  <si>
    <t>35: überholt im GWR. AV-Umriss schon verknüpft mit dem Gebäude mit EGID 191989045</t>
  </si>
  <si>
    <t>35: überholt im GWR. AV-Umriss schon verknüpft mit dem Gebäude mit EGID 191960475</t>
  </si>
  <si>
    <t>35: überholt im GWR. AV-Umriss schon verknüpft mit dem Gebäude mit EGID 191967317</t>
  </si>
  <si>
    <t>2628402.000 1232673.000</t>
  </si>
  <si>
    <t>2611433.500 1213619.625</t>
  </si>
  <si>
    <t>2604422.611 1198381.086</t>
  </si>
  <si>
    <t>31: Kein AV-Umriss für das Gebäude 191982666</t>
  </si>
  <si>
    <t>31: Kein AV-Umriss für das Gebäude 191982671</t>
  </si>
  <si>
    <t>35: überholt im GWR. AV-Umriss schon verknüpft mit dem Gebäude mit EGID 191966040</t>
  </si>
  <si>
    <t>43: Gebäude 191652156 verknüpft, aber die Kategorie ist '1010 provisorische Unterkunft'</t>
  </si>
  <si>
    <t>43: Gebäude 191652157 verknüpft, aber die Kategorie ist '1010 provisorische Unterkunft'</t>
  </si>
  <si>
    <t>2628425.000 1232663.000</t>
  </si>
  <si>
    <t>2587948.050 1221790.700</t>
  </si>
  <si>
    <t>2598991.000 1223788.000</t>
  </si>
  <si>
    <t>2592603.000 1224954.000</t>
  </si>
  <si>
    <t>2600489.750 1206456.250</t>
  </si>
  <si>
    <t>2617419.000 1153859.875</t>
  </si>
  <si>
    <t>2616082.811 1171307.613</t>
  </si>
  <si>
    <t>2597914.958 1180970.291</t>
  </si>
  <si>
    <t>2618869.250 1183124.250</t>
  </si>
  <si>
    <t>2586922.291 1221398.165</t>
  </si>
  <si>
    <t>31: Kein AV-Umriss für das Gebäude 191960328</t>
  </si>
  <si>
    <t>31: Kein AV-Umriss für das Gebäude 191971374</t>
  </si>
  <si>
    <t>31: Kein AV-Umriss für das Gebäude 192023066</t>
  </si>
  <si>
    <t>31: Kein AV-Umriss für das Gebäude 192010255</t>
  </si>
  <si>
    <t>31: Kein AV-Umriss für das Gebäude 192004037</t>
  </si>
  <si>
    <t>35: überholt im GWR. AV-Umriss schon verknüpft mit dem Gebäude mit EGID 1757349</t>
  </si>
  <si>
    <t>35: überholt im GWR. AV-Umriss schon verknüpft mit dem Gebäude mit EGID 1302609</t>
  </si>
  <si>
    <t>35: überholt im GWR. AV-Umriss schon verknüpft mit dem Gebäude mit EGID 191715973</t>
  </si>
  <si>
    <t>43: Gebäude 191667542 verknüpft, aber die Kategorie ist '1010 provisorische Unterkunft'</t>
  </si>
  <si>
    <t>Beim Schulhaus</t>
  </si>
  <si>
    <t>4a</t>
  </si>
  <si>
    <t>Rüti b. Riggisberg</t>
  </si>
  <si>
    <t>Schulhaus</t>
  </si>
  <si>
    <t>CH194671723515</t>
  </si>
  <si>
    <t>106</t>
  </si>
  <si>
    <t>Solarzaun</t>
  </si>
  <si>
    <t>2627526.000 1223872.000</t>
  </si>
  <si>
    <t>2600744.000 1205290.000</t>
  </si>
  <si>
    <t>2610386.750 1214827.500</t>
  </si>
  <si>
    <t>2610419.000 1214841.000</t>
  </si>
  <si>
    <t>2610397.250 1214834.250</t>
  </si>
  <si>
    <t>2610419.000 1214842.000</t>
  </si>
  <si>
    <t>2610408.750 1214841.000</t>
  </si>
  <si>
    <t>2610423.250 1214845.000</t>
  </si>
  <si>
    <t>2610428.500 1214850.250</t>
  </si>
  <si>
    <t>2610434.500 1214854.250</t>
  </si>
  <si>
    <t>2610441.500 1214857.500</t>
  </si>
  <si>
    <t>2605686.000 1211262.000</t>
  </si>
  <si>
    <t>2613893.750 1185539.250</t>
  </si>
  <si>
    <t>2615506.839 1191514.442</t>
  </si>
  <si>
    <t>2619420.000 1195200.000</t>
  </si>
  <si>
    <t>2609978.000 1187229.000</t>
  </si>
  <si>
    <t>2608118.000 1190535.500</t>
  </si>
  <si>
    <t>2603564.000 1184409.000</t>
  </si>
  <si>
    <t>2603107.000 1173765.000</t>
  </si>
  <si>
    <t>41: Status 'bestehend'  ist mit dem Topic Bodenbedeckung projektiert der AV nicht kohärent &lt;/br&gt;62: 3 GWR-Gebäude (192024494, 192024512, 192024514) innerhalb des gleichen AV-Gebäudes</t>
  </si>
  <si>
    <t>31: Kein AV-Umriss für das Gebäude 191887926</t>
  </si>
  <si>
    <t>31: Kein AV-Umriss für das Gebäude 192024500</t>
  </si>
  <si>
    <t>31: Kein AV-Umriss für das Gebäude 192023998</t>
  </si>
  <si>
    <t>31: Kein AV-Umriss für das Gebäude 191987866</t>
  </si>
  <si>
    <t>31: Kein AV-Umriss für das Gebäude 191963322</t>
  </si>
  <si>
    <t>31: Kein AV-Umriss für das Gebäude 191969818</t>
  </si>
  <si>
    <t>31: Kein AV-Umriss für das Gebäude 192024764</t>
  </si>
  <si>
    <t>31: Kein AV-Umriss für das Gebäude 192003978</t>
  </si>
  <si>
    <t>31: Kein AV-Umriss für das Gebäude 190704229</t>
  </si>
  <si>
    <t>31: Kein AV-Umriss für das Gebäude 192024317</t>
  </si>
  <si>
    <t>CH523276463581</t>
  </si>
  <si>
    <t>3032</t>
  </si>
  <si>
    <t>CH863346350954</t>
  </si>
  <si>
    <t>2626300.731 1226814.742</t>
  </si>
  <si>
    <t>2628802.000 1232671.000</t>
  </si>
  <si>
    <t>2605019.125 1187325.750</t>
  </si>
  <si>
    <t>2609274.000 1183987.000</t>
  </si>
  <si>
    <t>2615319.763 1181175.634</t>
  </si>
  <si>
    <t>31: Kein AV-Umriss für das Gebäude 191991195&lt;/br&gt;33: Das Gebäude 191991195 has GSTAT '1003 im Bau'</t>
  </si>
  <si>
    <t>31: Kein AV-Umriss für das Gebäude 191964479</t>
  </si>
  <si>
    <t>35: überholt im GWR. AV-Umriss schon verknüpft mit dem Gebäude mit EGID 191863572</t>
  </si>
  <si>
    <t>35: überholt im GWR. AV-Umriss schon verknüpft mit dem Gebäude mit EGID 191963741</t>
  </si>
  <si>
    <t>1959</t>
  </si>
  <si>
    <t>28a</t>
  </si>
  <si>
    <t>CH152946733550</t>
  </si>
  <si>
    <t>CH543546747779</t>
  </si>
  <si>
    <t>4318</t>
  </si>
  <si>
    <t>Bollstrasse</t>
  </si>
  <si>
    <t>131a</t>
  </si>
  <si>
    <t>Gartenunterstand</t>
  </si>
  <si>
    <t>CH634673355219</t>
  </si>
  <si>
    <t>2267</t>
  </si>
  <si>
    <t>Eggasse</t>
  </si>
  <si>
    <t>16a</t>
  </si>
  <si>
    <t>CH794673153561</t>
  </si>
  <si>
    <t>790</t>
  </si>
  <si>
    <t>2628392.000 1232685.000</t>
  </si>
  <si>
    <t>2584873.029 1220254.010</t>
  </si>
  <si>
    <t>2585586.885 1219702.459</t>
  </si>
  <si>
    <t>2585547.774 1219829.617</t>
  </si>
  <si>
    <t>2598947.214 1199717.166</t>
  </si>
  <si>
    <t>2598760.198 1199639.170</t>
  </si>
  <si>
    <t>2598748.988 1199518.193</t>
  </si>
  <si>
    <t>2598743.103 1199339.019</t>
  </si>
  <si>
    <t>2598659.831 1199380.660</t>
  </si>
  <si>
    <t>2598802.368 1199534.431</t>
  </si>
  <si>
    <t>2598943.324 1199655.035</t>
  </si>
  <si>
    <t>31: Kein AV-Umriss für das Gebäude 1755951</t>
  </si>
  <si>
    <t>31: Kein AV-Umriss für das Gebäude 191807037</t>
  </si>
  <si>
    <t>31: Kein AV-Umriss für das Gebäude 191807797</t>
  </si>
  <si>
    <t>35: überholt im GWR. AV-Umriss schon verknüpft mit dem Gebäude mit EGID 191975493</t>
  </si>
  <si>
    <t>35: überholt im GWR. AV-Umriss schon verknüpft mit dem Gebäude mit EGID 191994956</t>
  </si>
  <si>
    <t>2627236.500 1226969.500</t>
  </si>
  <si>
    <t>2603212.293 1203038.007</t>
  </si>
  <si>
    <t>2603563.850 1200708.790</t>
  </si>
  <si>
    <t>2584965.141 1220235.490</t>
  </si>
  <si>
    <t>2586559.295 1220223.353</t>
  </si>
  <si>
    <t>2584442.200 1220354.649</t>
  </si>
  <si>
    <t>2583267.825 1220002.111</t>
  </si>
  <si>
    <t>2586517.573 1220164.252</t>
  </si>
  <si>
    <t>2585183.348 1220955.055</t>
  </si>
  <si>
    <t>2617309.000 1153563.500</t>
  </si>
  <si>
    <t>2622423.857 1184686.720</t>
  </si>
  <si>
    <t>2622420.640 1184687.184</t>
  </si>
  <si>
    <t>62: 2 GWR-Gebäude (502047833, 502047834) innerhalb des gleichen AV-Gebäudes</t>
  </si>
  <si>
    <t>31: Kein AV-Umriss für das Gebäude 191868272</t>
  </si>
  <si>
    <t>31: Kein AV-Umriss für das Gebäude 191893491</t>
  </si>
  <si>
    <t>31: Kein AV-Umriss für das Gebäude 191899853</t>
  </si>
  <si>
    <t>31: Kein AV-Umriss für das Gebäude 191910755</t>
  </si>
  <si>
    <t>31: Kein AV-Umriss für das Gebäude 192002171</t>
  </si>
  <si>
    <t>35: überholt im GWR. AV-Umriss schon verknüpft mit dem Gebäude mit EGID 191948561</t>
  </si>
  <si>
    <t>35: überholt im GWR. AV-Umriss schon verknüpft mit dem Gebäude mit EGID 191979862</t>
  </si>
  <si>
    <t>35: überholt im GWR. AV-Umriss schon verknüpft mit dem Gebäude mit EGID 191893219</t>
  </si>
  <si>
    <t>2588387.700 1222584.193</t>
  </si>
  <si>
    <t>2588349.033 1223141.839</t>
  </si>
  <si>
    <t>2589204.632 1223300.964</t>
  </si>
  <si>
    <t>2588364.341 1223142.686</t>
  </si>
  <si>
    <t>2588330.261 1223137.847</t>
  </si>
  <si>
    <t>2588331.356 1223131.705</t>
  </si>
  <si>
    <t>2588339.772 1223116.093</t>
  </si>
  <si>
    <t>2588330.520 1223107.965</t>
  </si>
  <si>
    <t>2588320.498 1223098.161</t>
  </si>
  <si>
    <t>2588312.317 1223085.993</t>
  </si>
  <si>
    <t>2588302.242 1223076.158</t>
  </si>
  <si>
    <t>2588291.248 1223067.529</t>
  </si>
  <si>
    <t>2588282.544 1223057.564</t>
  </si>
  <si>
    <t>2588264.806 1223060.009</t>
  </si>
  <si>
    <t>2588276.874 1223046.453</t>
  </si>
  <si>
    <t>2586718.635 1220720.676</t>
  </si>
  <si>
    <t>2609207.750 1192294.125</t>
  </si>
  <si>
    <t>2584768.267 1194847.840</t>
  </si>
  <si>
    <t>2584771.903 1194846.931</t>
  </si>
  <si>
    <t>2595774.000 1143834.000</t>
  </si>
  <si>
    <t>2593644.500 1180211.375</t>
  </si>
  <si>
    <t>52: Der AV-EGID 191972664ist nicht kohärent mit dem GWR-EGID 192026842&lt;/br&gt;62: 2 GWR-Gebäude (192026842, 192026853) innerhalb des gleichen AV-Gebäudes</t>
  </si>
  <si>
    <t>52: Der AV-EGID 191972664ist nicht kohärent mit dem GWR-EGID 192026853&lt;/br&gt;62: 2 GWR-Gebäude (192026842, 192026853) innerhalb des gleichen AV-Gebäudes</t>
  </si>
  <si>
    <t>31: Kein AV-Umriss für das Gebäude 190531070</t>
  </si>
  <si>
    <t>31: Kein AV-Umriss für das Gebäude 191676820</t>
  </si>
  <si>
    <t>31: Kein AV-Umriss für das Gebäude 191912016</t>
  </si>
  <si>
    <t>31: Kein AV-Umriss für das Gebäude 191912017</t>
  </si>
  <si>
    <t>31: Kein AV-Umriss für das Gebäude 191912019</t>
  </si>
  <si>
    <t>31: Kein AV-Umriss für das Gebäude 191912020</t>
  </si>
  <si>
    <t>31: Kein AV-Umriss für das Gebäude 191912021</t>
  </si>
  <si>
    <t>31: Kein AV-Umriss für das Gebäude 191912022</t>
  </si>
  <si>
    <t>31: Kein AV-Umriss für das Gebäude 191912023</t>
  </si>
  <si>
    <t>31: Kein AV-Umriss für das Gebäude 191912024</t>
  </si>
  <si>
    <t>31: Kein AV-Umriss für das Gebäude 191912025</t>
  </si>
  <si>
    <t>31: Kein AV-Umriss für das Gebäude 191912027</t>
  </si>
  <si>
    <t>31: Kein AV-Umriss für das Gebäude 191912031</t>
  </si>
  <si>
    <t>31: Kein AV-Umriss für das Gebäude 191912032</t>
  </si>
  <si>
    <t>31: Kein AV-Umriss für das Gebäude 191938029</t>
  </si>
  <si>
    <t>31: Kein AV-Umriss für das Gebäude 192015906</t>
  </si>
  <si>
    <t>31: Kein AV-Umriss für das Gebäude 192027757</t>
  </si>
  <si>
    <t>35: überholt im GWR. AV-Umriss schon verknüpft mit dem Gebäude mit EGID 9005208</t>
  </si>
  <si>
    <t>35: überholt im GWR. AV-Umriss schon verknüpft mit dem Gebäude mit EGID 504070381</t>
  </si>
  <si>
    <t>2628928.000 1233927.000</t>
  </si>
  <si>
    <t>2634848.000 1155178.000</t>
  </si>
  <si>
    <t>2583959.541 1212162.229</t>
  </si>
  <si>
    <t>2592091.000 1180727.250</t>
  </si>
  <si>
    <t>41: Status 'bestehend'  ist mit dem Topic Bodenbedeckung projektiert der AV nicht kohärent &lt;/br&gt;62: 5 GWR-Gebäude (192024513, 192024526, 192024530, 192024532, 192024535) innerhalb des gleichen AV-Gebäudes</t>
  </si>
  <si>
    <t>31: Kein AV-Umriss für das Gebäude 192028109</t>
  </si>
  <si>
    <t>31: Kein AV-Umriss für das Gebäude 192027929</t>
  </si>
  <si>
    <t>35: überholt im GWR. AV-Umriss schon verknüpft mit dem Gebäude mit EGID 1267688</t>
  </si>
  <si>
    <t>35: überholt im GWR. AV-Umriss schon verknüpft mit dem Gebäude mit EGID 502137524</t>
  </si>
  <si>
    <t>2612570.550 1212754.278</t>
  </si>
  <si>
    <t>2612570.338 1212746.552</t>
  </si>
  <si>
    <t>2581575.500 1212526.125</t>
  </si>
  <si>
    <t>2581588.000 1212507.375</t>
  </si>
  <si>
    <t>2581683.500 1212579.125</t>
  </si>
  <si>
    <t>2619997.000 1226179.000</t>
  </si>
  <si>
    <t>2575979.325 1218199.542</t>
  </si>
  <si>
    <t>2576642.955 1216570.285</t>
  </si>
  <si>
    <t>31: Kein AV-Umriss für das Gebäude 192028612&lt;/br&gt;33: Das Gebäude 192028612 has GSTAT '1003 im Bau'</t>
  </si>
  <si>
    <t>31: Kein AV-Umriss für das Gebäude 192028615&lt;/br&gt;33: Das Gebäude 192028615 has GSTAT '1003 im Bau'</t>
  </si>
  <si>
    <t>35: überholt im GWR. AV-Umriss schon verknüpft mit dem Gebäude mit EGID 1389825</t>
  </si>
  <si>
    <t>35: überholt im GWR. AV-Umriss schon verknüpft mit dem Gebäude mit EGID 192002947</t>
  </si>
  <si>
    <t>54b</t>
  </si>
  <si>
    <t>813</t>
  </si>
  <si>
    <t>53</t>
  </si>
  <si>
    <t>220</t>
  </si>
  <si>
    <t>54a</t>
  </si>
  <si>
    <t>55c</t>
  </si>
  <si>
    <t>55</t>
  </si>
  <si>
    <t>53b</t>
  </si>
  <si>
    <t>53a</t>
  </si>
  <si>
    <t>Kirchenfeldstrasse</t>
  </si>
  <si>
    <t>34a</t>
  </si>
  <si>
    <t>Containerunterstand</t>
  </si>
  <si>
    <t>2951</t>
  </si>
  <si>
    <t>CH794638323534</t>
  </si>
  <si>
    <t>2592171.453 1205226.831</t>
  </si>
  <si>
    <t>2614047.028 1212412.332</t>
  </si>
  <si>
    <t>2631802.000 1218568.000</t>
  </si>
  <si>
    <t>2619584.000 1205635.375</t>
  </si>
  <si>
    <t>31: Kein AV-Umriss für das Gebäude 1283006</t>
  </si>
  <si>
    <t>31: Kein AV-Umriss für das Gebäude 504061649</t>
  </si>
  <si>
    <t>35: überholt im GWR. AV-Umriss schon verknüpft mit dem Gebäude mit EGID 191984128</t>
  </si>
  <si>
    <t>2645131.000 1178663.000</t>
  </si>
  <si>
    <t>2589374.000 1150416.000</t>
  </si>
  <si>
    <t>2596846.000 1180464.000</t>
  </si>
  <si>
    <t>2623302.000 1208746.000</t>
  </si>
  <si>
    <t>31: Kein AV-Umriss für das Gebäude 191997079</t>
  </si>
  <si>
    <t>31: Kein AV-Umriss für das Gebäude 191997085</t>
  </si>
  <si>
    <t>31: Kein AV-Umriss für das Gebäude 192030084</t>
  </si>
  <si>
    <t>31: Kein AV-Umriss für das Gebäude 191978066</t>
  </si>
  <si>
    <t>35: überholt im GWR. AV-Umriss schon verknüpft mit dem Gebäude mit EGID 190191255</t>
  </si>
  <si>
    <t>Rosenbühlgasse</t>
  </si>
  <si>
    <t>2605543.273 1197870.251</t>
  </si>
  <si>
    <t>2586138.221 1220109.663</t>
  </si>
  <si>
    <t>2618676.151 1163434.758</t>
  </si>
  <si>
    <t>2610013.454 1191961.382</t>
  </si>
  <si>
    <t>2610012.834 1191971.553</t>
  </si>
  <si>
    <t>2598220.652 1167189.111</t>
  </si>
  <si>
    <t>2592925.000 1185245.000</t>
  </si>
  <si>
    <t>2622540.189 1183995.882</t>
  </si>
  <si>
    <t>2612821.000 1174824.000</t>
  </si>
  <si>
    <t>2612803.000 1174835.000</t>
  </si>
  <si>
    <t>2612785.000 1174844.000</t>
  </si>
  <si>
    <t>2618886.250 1236099.000</t>
  </si>
  <si>
    <t>2598778.468 1199616.417</t>
  </si>
  <si>
    <t>31: Kein AV-Umriss für das Gebäude 504069999</t>
  </si>
  <si>
    <t>31: Kein AV-Umriss für das Gebäude 502053957</t>
  </si>
  <si>
    <t>31: Kein AV-Umriss für das Gebäude 192014737</t>
  </si>
  <si>
    <t>31: Kein AV-Umriss für das Gebäude 192000140</t>
  </si>
  <si>
    <t>31: Kein AV-Umriss für das Gebäude 192000141</t>
  </si>
  <si>
    <t>31: Kein AV-Umriss für das Gebäude 192000142</t>
  </si>
  <si>
    <t>31: Kein AV-Umriss für das Gebäude 191960286</t>
  </si>
  <si>
    <t>35: überholt im GWR. AV-Umriss schon verknüpft mit dem Gebäude mit EGID 191959667</t>
  </si>
  <si>
    <t>35: überholt im GWR. AV-Umriss schon verknüpft mit dem Gebäude mit EGID 1758474</t>
  </si>
  <si>
    <t>35: überholt im GWR. AV-Umriss schon verknüpft mit dem Gebäude mit EGID 1340576</t>
  </si>
  <si>
    <t>35: überholt im GWR. AV-Umriss schon verknüpft mit dem Gebäude mit EGID 192019789</t>
  </si>
  <si>
    <t>2585720.612 1221500.004</t>
  </si>
  <si>
    <t>2630852.000 1170520.000</t>
  </si>
  <si>
    <t>2619127.250 1206410.375</t>
  </si>
  <si>
    <t>2626078.652 1218866.550</t>
  </si>
  <si>
    <t>2625801.642 1218368.835</t>
  </si>
  <si>
    <t>2625211.681 1215813.916</t>
  </si>
  <si>
    <t>2625768.409 1218799.200</t>
  </si>
  <si>
    <t>2625990.982 1218805.923</t>
  </si>
  <si>
    <t>2625876.878 1217340.534</t>
  </si>
  <si>
    <t>2625617.455 1216423.790</t>
  </si>
  <si>
    <t>2624867.818 1216647.669</t>
  </si>
  <si>
    <t>2624882.543 1216732.114</t>
  </si>
  <si>
    <t>2625349.502 1215528.604</t>
  </si>
  <si>
    <t>2625543.293 1217403.988</t>
  </si>
  <si>
    <t>2625544.874 1217445.147</t>
  </si>
  <si>
    <t>2626434.567 1218323.390</t>
  </si>
  <si>
    <t>2625260.958 1217732.249</t>
  </si>
  <si>
    <t>2625253.756 1217696.954</t>
  </si>
  <si>
    <t>2625973.251 1218247.701</t>
  </si>
  <si>
    <t>2625970.810 1218244.605</t>
  </si>
  <si>
    <t>2625967.778 1218246.918</t>
  </si>
  <si>
    <t>2625959.511 1218206.581</t>
  </si>
  <si>
    <t>2626226.163 1218151.114</t>
  </si>
  <si>
    <t>2625346.561 1216553.802</t>
  </si>
  <si>
    <t>2625478.074 1216419.829</t>
  </si>
  <si>
    <t>2625636.996 1218114.411</t>
  </si>
  <si>
    <t>2625548.985 1218141.620</t>
  </si>
  <si>
    <t>2625118.945 1218174.231</t>
  </si>
  <si>
    <t>2625095.370 1218173.395</t>
  </si>
  <si>
    <t>2625314.626 1218343.158</t>
  </si>
  <si>
    <t>2625865.460 1218102.896</t>
  </si>
  <si>
    <t>2625950.833 1217842.299</t>
  </si>
  <si>
    <t>2623950.096 1216031.194</t>
  </si>
  <si>
    <t>2623830.160 1216316.526</t>
  </si>
  <si>
    <t>2623445.142 1215780.809</t>
  </si>
  <si>
    <t>2623525.969 1216484.279</t>
  </si>
  <si>
    <t>2624489.580 1215988.496</t>
  </si>
  <si>
    <t>2624509.593 1216037.988</t>
  </si>
  <si>
    <t>2624506.994 1216039.237</t>
  </si>
  <si>
    <t>31: Kein AV-Umriss für das Gebäude 191942396</t>
  </si>
  <si>
    <t>31: Kein AV-Umriss für das Gebäude 192023653</t>
  </si>
  <si>
    <t>31: Kein AV-Umriss für das Gebäude 504183730</t>
  </si>
  <si>
    <t>31: Kein AV-Umriss für das Gebäude 504183731</t>
  </si>
  <si>
    <t>31: Kein AV-Umriss für das Gebäude 504183732</t>
  </si>
  <si>
    <t>31: Kein AV-Umriss für das Gebäude 504183733</t>
  </si>
  <si>
    <t>31: Kein AV-Umriss für das Gebäude 504183734</t>
  </si>
  <si>
    <t>31: Kein AV-Umriss für das Gebäude 504183735</t>
  </si>
  <si>
    <t>31: Kein AV-Umriss für das Gebäude 504183736</t>
  </si>
  <si>
    <t>31: Kein AV-Umriss für das Gebäude 504183737</t>
  </si>
  <si>
    <t>31: Kein AV-Umriss für das Gebäude 504183738</t>
  </si>
  <si>
    <t>31: Kein AV-Umriss für das Gebäude 504183739</t>
  </si>
  <si>
    <t>31: Kein AV-Umriss für das Gebäude 504183740</t>
  </si>
  <si>
    <t>31: Kein AV-Umriss für das Gebäude 504183741</t>
  </si>
  <si>
    <t>31: Kein AV-Umriss für das Gebäude 504183743</t>
  </si>
  <si>
    <t>31: Kein AV-Umriss für das Gebäude 504183744</t>
  </si>
  <si>
    <t>31: Kein AV-Umriss für das Gebäude 504183745</t>
  </si>
  <si>
    <t>31: Kein AV-Umriss für das Gebäude 504183746</t>
  </si>
  <si>
    <t>31: Kein AV-Umriss für das Gebäude 504183747</t>
  </si>
  <si>
    <t>31: Kein AV-Umriss für das Gebäude 504183748</t>
  </si>
  <si>
    <t>31: Kein AV-Umriss für das Gebäude 504183750</t>
  </si>
  <si>
    <t>31: Kein AV-Umriss für das Gebäude 504183751</t>
  </si>
  <si>
    <t>31: Kein AV-Umriss für das Gebäude 504183752</t>
  </si>
  <si>
    <t>31: Kein AV-Umriss für das Gebäude 504183753</t>
  </si>
  <si>
    <t>31: Kein AV-Umriss für das Gebäude 504183755</t>
  </si>
  <si>
    <t>31: Kein AV-Umriss für das Gebäude 504183756</t>
  </si>
  <si>
    <t>31: Kein AV-Umriss für das Gebäude 504183757</t>
  </si>
  <si>
    <t>31: Kein AV-Umriss für das Gebäude 504183758</t>
  </si>
  <si>
    <t>31: Kein AV-Umriss für das Gebäude 504183759</t>
  </si>
  <si>
    <t>31: Kein AV-Umriss für das Gebäude 504183760</t>
  </si>
  <si>
    <t>31: Kein AV-Umriss für das Gebäude 504183761</t>
  </si>
  <si>
    <t>31: Kein AV-Umriss für das Gebäude 504183762</t>
  </si>
  <si>
    <t>31: Kein AV-Umriss für das Gebäude 504183763</t>
  </si>
  <si>
    <t>31: Kein AV-Umriss für das Gebäude 504183764</t>
  </si>
  <si>
    <t>31: Kein AV-Umriss für das Gebäude 504183765</t>
  </si>
  <si>
    <t>31: Kein AV-Umriss für das Gebäude 504183766</t>
  </si>
  <si>
    <t>31: Kein AV-Umriss für das Gebäude 504183767</t>
  </si>
  <si>
    <t>35: überholt im GWR. AV-Umriss schon verknüpft mit dem Gebäude mit EGID 504071140</t>
  </si>
  <si>
    <t>Zieglerstrasse</t>
  </si>
  <si>
    <t>6</t>
  </si>
  <si>
    <t>340</t>
  </si>
  <si>
    <t>2586846.254 1221236.677</t>
  </si>
  <si>
    <t>2586203.111 1220790.728</t>
  </si>
  <si>
    <t>2616538.795 1194670.931</t>
  </si>
  <si>
    <t>2650930.000 1176745.000</t>
  </si>
  <si>
    <t>2607062.000 1181393.000</t>
  </si>
  <si>
    <t>2610051.000 1185075.375</t>
  </si>
  <si>
    <t>2602632.000 1195877.000</t>
  </si>
  <si>
    <t>2621133.500 1182773.000</t>
  </si>
  <si>
    <t>2598813.841 1199745.541</t>
  </si>
  <si>
    <t>2584750.597 1220191.619</t>
  </si>
  <si>
    <t>2587639.759 1221234.968</t>
  </si>
  <si>
    <t>2587527.264 1221502.600</t>
  </si>
  <si>
    <t>2586825.879 1220260.863</t>
  </si>
  <si>
    <t>2586517.854 1220172.260</t>
  </si>
  <si>
    <t>2587031.697 1219992.578</t>
  </si>
  <si>
    <t>2587548.644 1222717.020</t>
  </si>
  <si>
    <t>2586820.196 1219996.704</t>
  </si>
  <si>
    <t>2586770.095 1220725.503</t>
  </si>
  <si>
    <t>2587419.107 1221538.619</t>
  </si>
  <si>
    <t>2588485.230 1223393.645</t>
  </si>
  <si>
    <t>2586846.565 1221131.544</t>
  </si>
  <si>
    <t>2587127.952 1221243.309</t>
  </si>
  <si>
    <t>2587176.206 1221357.630</t>
  </si>
  <si>
    <t>31: Kein AV-Umriss für das Gebäude 191936897</t>
  </si>
  <si>
    <t>31: Kein AV-Umriss für das Gebäude 191936951</t>
  </si>
  <si>
    <t>31: Kein AV-Umriss für das Gebäude 192016460</t>
  </si>
  <si>
    <t>31: Kein AV-Umriss für das Gebäude 192004025</t>
  </si>
  <si>
    <t>31: Kein AV-Umriss für das Gebäude 192032408</t>
  </si>
  <si>
    <t>31: Kein AV-Umriss für das Gebäude 191969984</t>
  </si>
  <si>
    <t>31: Kein AV-Umriss für das Gebäude 192014053</t>
  </si>
  <si>
    <t>35: überholt im GWR. AV-Umriss schon verknüpft mit dem Gebäude mit EGID 192030735</t>
  </si>
  <si>
    <t>35: überholt im GWR. AV-Umriss schon verknüpft mit dem Gebäude mit EGID 1411274</t>
  </si>
  <si>
    <t>35: überholt im GWR. AV-Umriss schon verknüpft mit dem Gebäude mit EGID 191948544</t>
  </si>
  <si>
    <t>2587018.750 1212051.125</t>
  </si>
  <si>
    <t>2597540.000 1212405.000</t>
  </si>
  <si>
    <t>2633353.000 1220317.500</t>
  </si>
  <si>
    <t>2633357.000 1220320.500</t>
  </si>
  <si>
    <t>2633359.250 1220010.250</t>
  </si>
  <si>
    <t>2630752.000 1225516.125</t>
  </si>
  <si>
    <t>2600505.339 1200597.595</t>
  </si>
  <si>
    <t>2614254.500 1210793.375</t>
  </si>
  <si>
    <t>2607589.394 1210012.781</t>
  </si>
  <si>
    <t>2567824.500 1219316.750</t>
  </si>
  <si>
    <t>2647984.000 1168090.000</t>
  </si>
  <si>
    <t>2580627.951 1219385.045</t>
  </si>
  <si>
    <t>2613649.143 1180452.407</t>
  </si>
  <si>
    <t>2610943.000 1180245.375</t>
  </si>
  <si>
    <t>2622670.983 1210033.271</t>
  </si>
  <si>
    <t>2629191.733 1234537.915</t>
  </si>
  <si>
    <t>2578589.920 1220688.385</t>
  </si>
  <si>
    <t>2578144.203 1219529.791</t>
  </si>
  <si>
    <t>2580186.372 1219624.631</t>
  </si>
  <si>
    <t>2581418.451 1220502.893</t>
  </si>
  <si>
    <t>2578952.990 1218957.805</t>
  </si>
  <si>
    <t>2579407.312 1219811.567</t>
  </si>
  <si>
    <t>2580711.256 1219559.619</t>
  </si>
  <si>
    <t>2580611.284 1219422.997</t>
  </si>
  <si>
    <t>2583522.289 1218127.635</t>
  </si>
  <si>
    <t>2621711.079 1206282.474</t>
  </si>
  <si>
    <t>2616478.151 1231609.937</t>
  </si>
  <si>
    <t>31: Kein AV-Umriss für das Gebäude 191995643</t>
  </si>
  <si>
    <t>31: Kein AV-Umriss für das Gebäude 192015475</t>
  </si>
  <si>
    <t>31: Kein AV-Umriss für das Gebäude 192033494</t>
  </si>
  <si>
    <t>31: Kein AV-Umriss für das Gebäude 192004502</t>
  </si>
  <si>
    <t>31: Kein AV-Umriss für das Gebäude 504011832</t>
  </si>
  <si>
    <t>31: Kein AV-Umriss für das Gebäude 192015929&lt;/br&gt;33: Das Gebäude 192015929 has GSTAT '1003 im Bau'</t>
  </si>
  <si>
    <t>31: Kein AV-Umriss für das Gebäude 191981925</t>
  </si>
  <si>
    <t>31: Kein AV-Umriss für das Gebäude 192033949</t>
  </si>
  <si>
    <t>31: Kein AV-Umriss für das Gebäude 192033558</t>
  </si>
  <si>
    <t>35: überholt im GWR. AV-Umriss schon verknüpft mit dem Gebäude mit EGID 1310671</t>
  </si>
  <si>
    <t>35: überholt im GWR. AV-Umriss schon verknüpft mit dem Gebäude mit EGID 504002184</t>
  </si>
  <si>
    <t>35: überholt im GWR. AV-Umriss schon verknüpft mit dem Gebäude mit EGID 1380777</t>
  </si>
  <si>
    <t>35: überholt im GWR. AV-Umriss schon verknüpft mit dem Gebäude mit EGID 191947462</t>
  </si>
  <si>
    <t>Erlenweg</t>
  </si>
  <si>
    <t>1623</t>
  </si>
  <si>
    <t>2609392.400 1199518.800</t>
  </si>
  <si>
    <t>2604684.000 1208682.000</t>
  </si>
  <si>
    <t>2580629.736 1219378.821</t>
  </si>
  <si>
    <t>2582676.000 1216080.000</t>
  </si>
  <si>
    <t>2583117.000 1216741.000</t>
  </si>
  <si>
    <t>2615674.000 1173726.000</t>
  </si>
  <si>
    <t>2615675.000 1173726.000</t>
  </si>
  <si>
    <t>2615681.000 1173727.000</t>
  </si>
  <si>
    <t>2615684.000 1173727.000</t>
  </si>
  <si>
    <t>2619905.250 1173941.875</t>
  </si>
  <si>
    <t>2622262.981 1176039.886</t>
  </si>
  <si>
    <t>2613633.027 1180451.829</t>
  </si>
  <si>
    <t>2631133.000 1217189.000</t>
  </si>
  <si>
    <t>2619304.250 1235902.375</t>
  </si>
  <si>
    <t>2616817.000 1231536.000</t>
  </si>
  <si>
    <t>31: Kein AV-Umriss für das Gebäude 192026694&lt;/br&gt;33: Das Gebäude 192026694 has GSTAT '1003 im Bau'</t>
  </si>
  <si>
    <t>31: Kein AV-Umriss für das Gebäude 192033036</t>
  </si>
  <si>
    <t>31: Kein AV-Umriss für das Gebäude 192034416</t>
  </si>
  <si>
    <t>31: Kein AV-Umriss für das Gebäude 192034239</t>
  </si>
  <si>
    <t>31: Kein AV-Umriss für das Gebäude 192024942</t>
  </si>
  <si>
    <t>31: Kein AV-Umriss für das Gebäude 192024943</t>
  </si>
  <si>
    <t>31: Kein AV-Umriss für das Gebäude 192024944</t>
  </si>
  <si>
    <t>31: Kein AV-Umriss für das Gebäude 191998662</t>
  </si>
  <si>
    <t>31: Kein AV-Umriss für das Gebäude 191971104</t>
  </si>
  <si>
    <t>31: Kein AV-Umriss für das Gebäude 192034902</t>
  </si>
  <si>
    <t>35: überholt im GWR. AV-Umriss schon verknüpft mit dem Gebäude mit EGID 504048404</t>
  </si>
  <si>
    <t>35: überholt im GWR. AV-Umriss schon verknüpft mit dem Gebäude mit EGID 502100247</t>
  </si>
  <si>
    <t>35: überholt im GWR. AV-Umriss schon verknüpft mit dem Gebäude mit EGID 191906076</t>
  </si>
  <si>
    <t>35: überholt im GWR. AV-Umriss schon verknüpft mit dem Gebäude mit EGID 191947461</t>
  </si>
  <si>
    <t>35: überholt im GWR. AV-Umriss schon verknüpft mit dem Gebäude mit EGID 502116784</t>
  </si>
  <si>
    <t>2588340.937 1223373.142</t>
  </si>
  <si>
    <t>2600618.000 1224902.875</t>
  </si>
  <si>
    <t>2606704.750 1214740.875</t>
  </si>
  <si>
    <t>2604688.000 1208688.000</t>
  </si>
  <si>
    <t>2609975.475 1191329.710</t>
  </si>
  <si>
    <t>2585422.909 1216593.487</t>
  </si>
  <si>
    <t>2629788.000 1211074.000</t>
  </si>
  <si>
    <t>2605381.395 1185703.840</t>
  </si>
  <si>
    <t>31: Kein AV-Umriss für das Gebäude 191898605</t>
  </si>
  <si>
    <t>31: Kein AV-Umriss für das Gebäude 191978789</t>
  </si>
  <si>
    <t>31: Kein AV-Umriss für das Gebäude 192035389</t>
  </si>
  <si>
    <t>31: Kein AV-Umriss für das Gebäude 191838235</t>
  </si>
  <si>
    <t>31: Kein AV-Umriss für das Gebäude 191838236</t>
  </si>
  <si>
    <t>35: überholt im GWR. AV-Umriss schon verknüpft mit dem Gebäude mit EGID 192019776</t>
  </si>
  <si>
    <t>35: überholt im GWR. AV-Umriss schon verknüpft mit dem Gebäude mit EGID 1383065</t>
  </si>
  <si>
    <t>Kaufdorfstrasse</t>
  </si>
  <si>
    <t>121</t>
  </si>
  <si>
    <t>319</t>
  </si>
  <si>
    <t>2591732.747 1216561.126</t>
  </si>
  <si>
    <t>2626088.066 1230615.254</t>
  </si>
  <si>
    <t>2574603.000 1205502.000</t>
  </si>
  <si>
    <t>2574612.000 1205506.000</t>
  </si>
  <si>
    <t>2574624.000 1205508.000</t>
  </si>
  <si>
    <t>2574631.000 1205501.000</t>
  </si>
  <si>
    <t>2574630.000 1205509.000</t>
  </si>
  <si>
    <t>2611816.100 1198471.700</t>
  </si>
  <si>
    <t>2591949.189 1222712.621</t>
  </si>
  <si>
    <t>2625646.668 1230132.451</t>
  </si>
  <si>
    <t>2594184.880 1236493.122</t>
  </si>
  <si>
    <t>31: Kein AV-Umriss für das Gebäude 192021555</t>
  </si>
  <si>
    <t>31: Kein AV-Umriss für das Gebäude 192021556</t>
  </si>
  <si>
    <t>31: Kein AV-Umriss für das Gebäude 192021557</t>
  </si>
  <si>
    <t>31: Kein AV-Umriss für das Gebäude 192021558</t>
  </si>
  <si>
    <t>31: Kein AV-Umriss für das Gebäude 192021559</t>
  </si>
  <si>
    <t>35: überholt im GWR. AV-Umriss schon verknüpft mit dem Gebäude mit EGID 1299416</t>
  </si>
  <si>
    <t>35: überholt im GWR. AV-Umriss schon verknüpft mit dem Gebäude mit EGID 191982003</t>
  </si>
  <si>
    <t>35: überholt im GWR. AV-Umriss schon verknüpft mit dem Gebäude mit EGID 502059105</t>
  </si>
  <si>
    <t>2624897.000 1232338.000</t>
  </si>
  <si>
    <t>2613394.661 1221768.007</t>
  </si>
  <si>
    <t>2613393.445 1221771.060</t>
  </si>
  <si>
    <t>2613069.530 1221482.800</t>
  </si>
  <si>
    <t>2618146.018 1192826.765</t>
  </si>
  <si>
    <t>2594625.994 1180293.749</t>
  </si>
  <si>
    <t>2615426.000 1177190.000</t>
  </si>
  <si>
    <t>2617887.000 1208521.125</t>
  </si>
  <si>
    <t>2604031.166 1200031.571</t>
  </si>
  <si>
    <t>2632597.354 1170134.600</t>
  </si>
  <si>
    <t>2591685.492 1222640.905</t>
  </si>
  <si>
    <t>2590775.676 1221688.592</t>
  </si>
  <si>
    <t>2603590.766 1190031.466</t>
  </si>
  <si>
    <t>2603748.883 1189808.808</t>
  </si>
  <si>
    <t>31: Kein AV-Umriss für das Gebäude 504051765</t>
  </si>
  <si>
    <t>31: Kein AV-Umriss für das Gebäude 504051766</t>
  </si>
  <si>
    <t>31: Kein AV-Umriss für das Gebäude 192036960</t>
  </si>
  <si>
    <t>31: Kein AV-Umriss für das Gebäude 192026336</t>
  </si>
  <si>
    <t>31: Kein AV-Umriss für das Gebäude 192015073</t>
  </si>
  <si>
    <t>31: Kein AV-Umriss für das Gebäude 192026056</t>
  </si>
  <si>
    <t>35: überholt im GWR. AV-Umriss schon verknüpft mit dem Gebäude mit EGID 504113752</t>
  </si>
  <si>
    <t>35: überholt im GWR. AV-Umriss schon verknüpft mit dem Gebäude mit EGID 1315866</t>
  </si>
  <si>
    <t>Sonnhalderain</t>
  </si>
  <si>
    <t>14a</t>
  </si>
  <si>
    <t>CH913551463870</t>
  </si>
  <si>
    <t>943</t>
  </si>
  <si>
    <t>2589871.000 1214426.000</t>
  </si>
  <si>
    <t>2589763.860 1213000.540</t>
  </si>
  <si>
    <t>2626181.094 1222427.361</t>
  </si>
  <si>
    <t>2611048.000 1215194.000</t>
  </si>
  <si>
    <t>2650697.418 1177980.784</t>
  </si>
  <si>
    <t>2608936.342 1191265.488</t>
  </si>
  <si>
    <t>2610351.836 1188666.044</t>
  </si>
  <si>
    <t>2610351.219 1188669.152</t>
  </si>
  <si>
    <t>2610334.131 1188685.112</t>
  </si>
  <si>
    <t>2588886.353 1218640.616</t>
  </si>
  <si>
    <t>2588886.130 1218659.619</t>
  </si>
  <si>
    <t>2626646.340 1198885.985</t>
  </si>
  <si>
    <t>2616640.750 1207734.125</t>
  </si>
  <si>
    <t>2623993.000 1227764.317</t>
  </si>
  <si>
    <t>2603485.977 1200270.693</t>
  </si>
  <si>
    <t>2620024.426 1226777.208</t>
  </si>
  <si>
    <t>31: Kein AV-Umriss für das Gebäude 192037823</t>
  </si>
  <si>
    <t>31: Kein AV-Umriss für das Gebäude 502024113</t>
  </si>
  <si>
    <t>31: Kein AV-Umriss für das Gebäude 502024114</t>
  </si>
  <si>
    <t>31: Kein AV-Umriss für das Gebäude 502024115</t>
  </si>
  <si>
    <t>31: Kein AV-Umriss für das Gebäude 502053183</t>
  </si>
  <si>
    <t>31: Kein AV-Umriss für das Gebäude 191600472</t>
  </si>
  <si>
    <t>31: Kein AV-Umriss für das Gebäude 191600473</t>
  </si>
  <si>
    <t>31: Kein AV-Umriss für das Gebäude 192008648</t>
  </si>
  <si>
    <t>35: überholt im GWR. AV-Umriss schon verknüpft mit dem Gebäude mit EGID 504068758</t>
  </si>
  <si>
    <t>35: überholt im GWR. AV-Umriss schon verknüpft mit dem Gebäude mit EGID 190096601</t>
  </si>
  <si>
    <t>35: überholt im GWR. AV-Umriss schon verknüpft mit dem Gebäude mit EGID 192018711</t>
  </si>
  <si>
    <t>35: überholt im GWR. AV-Umriss schon verknüpft mit dem Gebäude mit EGID 192018700</t>
  </si>
  <si>
    <t>35: überholt im GWR. AV-Umriss schon verknüpft mit dem Gebäude mit EGID 191928158</t>
  </si>
  <si>
    <t>35: überholt im GWR. AV-Umriss schon verknüpft mit dem Gebäude mit EGID 192036152</t>
  </si>
  <si>
    <t>2590089.771 1212015.015</t>
  </si>
  <si>
    <t>2589761.000 1212997.000</t>
  </si>
  <si>
    <t>2589761.420 1212997.999</t>
  </si>
  <si>
    <t>2626093.977 1226240.421</t>
  </si>
  <si>
    <t>2605536.000 1197656.000</t>
  </si>
  <si>
    <t>2614392.953 1212477.958</t>
  </si>
  <si>
    <t>2614307.095 1212506.268</t>
  </si>
  <si>
    <t>2570617.132 1208720.407</t>
  </si>
  <si>
    <t>2609835.000 1177754.000</t>
  </si>
  <si>
    <t>2610301.000 1177882.000</t>
  </si>
  <si>
    <t>2612411.025 1204926.141</t>
  </si>
  <si>
    <t>2612417.155 1204920.222</t>
  </si>
  <si>
    <t>2628174.722 1234401.615</t>
  </si>
  <si>
    <t>2577481.745 1204776.608</t>
  </si>
  <si>
    <t>2585578.257 1217505.254</t>
  </si>
  <si>
    <t>2603361.418 1194531.919</t>
  </si>
  <si>
    <t>2605647.106 1178300.948</t>
  </si>
  <si>
    <t>2630855.818 1197164.385</t>
  </si>
  <si>
    <t>2630237.908 1197083.117</t>
  </si>
  <si>
    <t>62: 3 GWR-Gebäude (191965291, 192037831, 502190472) innerhalb des gleichen AV-Gebäudes</t>
  </si>
  <si>
    <t>42: die Kategorie 1080  ist mit dem Topic Bodenbedeckung projektiert der AV nicht kohärent &lt;/br&gt;62: 2 GWR-Gebäude (192019952, 192037224) innerhalb des gleichen AV-Gebäudes</t>
  </si>
  <si>
    <t>12: Verknüpft mit EGID 191208990 in der gleiche Gemeinde&lt;/br&gt;41: Status 'im Bau' ist mit dem Topic Bodenbedeckung der AV nicht kohärent&lt;/br&gt;42: die Kategorie 1060  ist mit dem Topic Einzelobjekte der AV nicht kohärent &lt;/br&gt;62: 2 GWR-Gebäude (191208990, 502117185) innerhalb des gleichen AV-Gebäudes</t>
  </si>
  <si>
    <t>31: Kein AV-Umriss für das Gebäude 1253875</t>
  </si>
  <si>
    <t>31: Kein AV-Umriss für das Gebäude 504058825</t>
  </si>
  <si>
    <t>31: Kein AV-Umriss für das Gebäude 192038641</t>
  </si>
  <si>
    <t>31: Kein AV-Umriss für das Gebäude 192011191</t>
  </si>
  <si>
    <t>31: Kein AV-Umriss für das Gebäude 192028483&lt;/br&gt;33: Das Gebäude 192028483 has GSTAT '1003 im Bau'</t>
  </si>
  <si>
    <t>31: Kein AV-Umriss für das Gebäude 192023624</t>
  </si>
  <si>
    <t>31: Kein AV-Umriss für das Gebäude 191965437</t>
  </si>
  <si>
    <t>31: Kein AV-Umriss für das Gebäude 191991526</t>
  </si>
  <si>
    <t>31: Kein AV-Umriss für das Gebäude 502141448</t>
  </si>
  <si>
    <t>31: Kein AV-Umriss für das Gebäude 502141449</t>
  </si>
  <si>
    <t>35: überholt im GWR. AV-Umriss schon verknüpft mit dem Gebäude mit EGID 192023870</t>
  </si>
  <si>
    <t>35: überholt im GWR. AV-Umriss schon verknüpft mit dem Gebäude mit EGID 192004746</t>
  </si>
  <si>
    <t>43: Gebäude 191936915 verknüpft, aber die Kategorie ist '1010 provisorische Unterkunft'</t>
  </si>
  <si>
    <t>12: Verknüpft mit EGID 191208990 in der gleiche Gemeinde&lt;/br&gt;41: Status 'im Bau' ist mit dem Topic Bodenbedeckung der AV nicht kohärent&lt;/br&gt;42: die Kategorie 1060 ist mit dem Topic Einzelobjekte der AV nicht kohärent &lt;/br&gt;62: 2 GWR-Gebäude (191208990, 502117185) innerhalb des gleichen AV-Gebäudes</t>
  </si>
  <si>
    <t>2625183.000 1221258.000</t>
  </si>
  <si>
    <t>2625579.000 1219988.000</t>
  </si>
  <si>
    <t>2593987.500 1225491.375</t>
  </si>
  <si>
    <t>2613562.594 1211363.813</t>
  </si>
  <si>
    <t>2605130.188 1210522.951</t>
  </si>
  <si>
    <t>2605102.331 1211274.932</t>
  </si>
  <si>
    <t>2633065.497 1169153.005</t>
  </si>
  <si>
    <t>2633067.814 1169151.808</t>
  </si>
  <si>
    <t>2633043.632 1169129.085</t>
  </si>
  <si>
    <t>2614909.864 1197134.434</t>
  </si>
  <si>
    <t>2591172.500 1222663.625</t>
  </si>
  <si>
    <t>2607760.000 1181930.000</t>
  </si>
  <si>
    <t>2629259.649 1193426.393</t>
  </si>
  <si>
    <t>2589755.138 1212991.596</t>
  </si>
  <si>
    <t>2598967.158 1199790.524</t>
  </si>
  <si>
    <t>2615194.710 1219340.892</t>
  </si>
  <si>
    <t>2613255.385 1211517.194</t>
  </si>
  <si>
    <t>2613961.273 1210078.520</t>
  </si>
  <si>
    <t>2619649.448 1219643.572</t>
  </si>
  <si>
    <t>2606530.122 1215151.136</t>
  </si>
  <si>
    <t>2623675.509 1202795.468</t>
  </si>
  <si>
    <t>2630794.563 1196925.779</t>
  </si>
  <si>
    <t>12: Verknüpft mit EGID 192037831 in der gleiche Gemeinde&lt;/br&gt;42: die Kategorie 1060  ist mit dem Topic Einzelobjekte der AV nicht kohärent &lt;/br&gt;62: 3 GWR-Gebäude (191965291, 192037831, 502190472) innerhalb des gleichen AV-Gebäudes</t>
  </si>
  <si>
    <t>31: Kein AV-Umriss für das Gebäude 192039661&lt;/br&gt;33: Das Gebäude 192039661 has GSTAT '1003 im Bau'</t>
  </si>
  <si>
    <t>31: Kein AV-Umriss für das Gebäude 192039877&lt;/br&gt;33: Das Gebäude 192039877 has GSTAT '1003 im Bau'</t>
  </si>
  <si>
    <t>31: Kein AV-Umriss für das Gebäude 192039633&lt;/br&gt;33: Das Gebäude 192039633 has GSTAT '1003 im Bau'</t>
  </si>
  <si>
    <t>31: Kein AV-Umriss für das Gebäude 502050081</t>
  </si>
  <si>
    <t>31: Kein AV-Umriss für das Gebäude 502050118</t>
  </si>
  <si>
    <t>31: Kein AV-Umriss für das Gebäude 502064855</t>
  </si>
  <si>
    <t>31: Kein AV-Umriss für das Gebäude 502064856</t>
  </si>
  <si>
    <t>31: Kein AV-Umriss für das Gebäude 502064857</t>
  </si>
  <si>
    <t>31: Kein AV-Umriss für das Gebäude 1353487</t>
  </si>
  <si>
    <t>31: Kein AV-Umriss für das Gebäude 502277124</t>
  </si>
  <si>
    <t>35: überholt im GWR. AV-Umriss schon verknüpft mit dem Gebäude mit EGID 504060588</t>
  </si>
  <si>
    <t>35: überholt im GWR. AV-Umriss schon verknüpft mit dem Gebäude mit EGID 1388113</t>
  </si>
  <si>
    <t>35: überholt im GWR. AV-Umriss schon verknüpft mit dem Gebäude mit EGID 504042297</t>
  </si>
  <si>
    <t>12: Verknüpft mit EGID 192037831 in der gleiche Gemeinde&lt;/br&gt;42: die Kategorie 1060 ist mit dem Topic Einzelobjekte der AV nicht kohärent &lt;/br&gt;62: 3 GWR-Gebäude (191965291, 192037831, 502190472) innerhalb des gleichen AV-Gebäudes</t>
  </si>
  <si>
    <t>Murtenstrasse</t>
  </si>
  <si>
    <t>31b</t>
  </si>
  <si>
    <t>9b</t>
  </si>
  <si>
    <t>Spirenwaldstrasse</t>
  </si>
  <si>
    <t>Silo</t>
  </si>
  <si>
    <t>CH894624903549</t>
  </si>
  <si>
    <t>397</t>
  </si>
  <si>
    <t>2591331.430 1198786.264</t>
  </si>
  <si>
    <t>2633110.377 1170500.216</t>
  </si>
  <si>
    <t>2580505.700 1219402.400</t>
  </si>
  <si>
    <t>2580568.103 1219509.200</t>
  </si>
  <si>
    <t>2580576.437 1219559.914</t>
  </si>
  <si>
    <t>2605626.749 1186336.994</t>
  </si>
  <si>
    <t>2612915.423 1179983.984</t>
  </si>
  <si>
    <t>2623787.875 1212190.125</t>
  </si>
  <si>
    <t>2616957.500 1229460.000</t>
  </si>
  <si>
    <t>2597643.591 1212348.622</t>
  </si>
  <si>
    <t>2625801.915 1228354.265</t>
  </si>
  <si>
    <t>2600994.222 1201448.997</t>
  </si>
  <si>
    <t>2611865.312 1213856.791</t>
  </si>
  <si>
    <t>2621447.845 1166366.893</t>
  </si>
  <si>
    <t>2627725.274 1172225.857</t>
  </si>
  <si>
    <t>2627720.589 1172214.026</t>
  </si>
  <si>
    <t>2632875.803 1170998.286</t>
  </si>
  <si>
    <t>2580700.310 1219613.540</t>
  </si>
  <si>
    <t>2580486.481 1219653.630</t>
  </si>
  <si>
    <t>2579364.427 1219576.914</t>
  </si>
  <si>
    <t>2578581.661 1220692.781</t>
  </si>
  <si>
    <t>2590220.826 1221102.918</t>
  </si>
  <si>
    <t>41: Status 'bestehend'  ist mit dem Topic Bodenbedeckung projektiert der AV nicht kohärent &lt;/br&gt;62: 2 GWR-Gebäude (9005811, 192041480) innerhalb des gleichen AV-Gebäudes</t>
  </si>
  <si>
    <t>52: Der AV-EGID 502026540ist nicht kohärent mit dem GWR-EGID 192033487&lt;/br&gt;62: 2 GWR-Gebäude (192033487, 192033488) innerhalb des gleichen AV-Gebäudes</t>
  </si>
  <si>
    <t>52: Der AV-EGID 502026540ist nicht kohärent mit dem GWR-EGID 192033488&lt;/br&gt;62: 2 GWR-Gebäude (192033487, 192033488) innerhalb des gleichen AV-Gebäudes</t>
  </si>
  <si>
    <t>31: Kein AV-Umriss für das Gebäude 504011767</t>
  </si>
  <si>
    <t>31: Kein AV-Umriss für das Gebäude 192034415</t>
  </si>
  <si>
    <t>31: Kein AV-Umriss für das Gebäude 192041228</t>
  </si>
  <si>
    <t>31: Kein AV-Umriss für das Gebäude 192041246</t>
  </si>
  <si>
    <t>31: Kein AV-Umriss für das Gebäude 504055815</t>
  </si>
  <si>
    <t>31: Kein AV-Umriss für das Gebäude 192021998</t>
  </si>
  <si>
    <t>31: Kein AV-Umriss für das Gebäude 192041206</t>
  </si>
  <si>
    <t>35: überholt im GWR. AV-Umriss schon verknüpft mit dem Gebäude mit EGID 192036187</t>
  </si>
  <si>
    <t>35: überholt im GWR. AV-Umriss schon verknüpft mit dem Gebäude mit EGID 1429524</t>
  </si>
  <si>
    <t>2589512.000 1213741.000</t>
  </si>
  <si>
    <t>2628489.226 1222903.923</t>
  </si>
  <si>
    <t>2627119.259 1223998.299</t>
  </si>
  <si>
    <t>2605382.096 1198252.500</t>
  </si>
  <si>
    <t>2604540.412 1198856.720</t>
  </si>
  <si>
    <t>2585569.155 1220584.046</t>
  </si>
  <si>
    <t>2574811.667 1206076.561</t>
  </si>
  <si>
    <t>2581989.383 1229785.621</t>
  </si>
  <si>
    <t>2602574.000 1195839.000</t>
  </si>
  <si>
    <t>2605625.000 1178075.000</t>
  </si>
  <si>
    <t>2626807.000 1199058.000</t>
  </si>
  <si>
    <t>2630466.758 1197020.803</t>
  </si>
  <si>
    <t>2630685.161 1196348.026</t>
  </si>
  <si>
    <t>2630683.881 1196351.163</t>
  </si>
  <si>
    <t>2630682.477 1196354.380</t>
  </si>
  <si>
    <t>2615223.598 1179520.053</t>
  </si>
  <si>
    <t>2614532.247 1178277.895</t>
  </si>
  <si>
    <t>2614540.178 1178288.246</t>
  </si>
  <si>
    <t>2622109.000 1211965.000</t>
  </si>
  <si>
    <t>2616815.500 1229536.875</t>
  </si>
  <si>
    <t>2604545.952 1198864.424</t>
  </si>
  <si>
    <t>2588019.462 1221633.395</t>
  </si>
  <si>
    <t>2600984.768 1225332.205</t>
  </si>
  <si>
    <t>2608990.009 1208738.284</t>
  </si>
  <si>
    <t>2614479.627 1209442.111</t>
  </si>
  <si>
    <t>2602778.999 1215141.775</t>
  </si>
  <si>
    <t>2606406.239 1215098.456</t>
  </si>
  <si>
    <t>2632818.570 1170066.428</t>
  </si>
  <si>
    <t>2604132.365 1187544.471</t>
  </si>
  <si>
    <t>2603075.700 1183944.045</t>
  </si>
  <si>
    <t>2630036.756 1197060.165</t>
  </si>
  <si>
    <t>2630402.305 1196763.771</t>
  </si>
  <si>
    <t>2613250.088 1180308.795</t>
  </si>
  <si>
    <t>2617002.447 1207661.746</t>
  </si>
  <si>
    <t>42: die Kategorie 1060  ist mit dem Topic Einzelobjekte der AV nicht kohärent &lt;/br&gt;62: 3 GWR-Gebäude (502277019, 502277020, 502277021) innerhalb des gleichen AV-Gebäudes</t>
  </si>
  <si>
    <t>31: Kein AV-Umriss für das Gebäude 191788768</t>
  </si>
  <si>
    <t>31: Kein AV-Umriss für das Gebäude 504068059</t>
  </si>
  <si>
    <t>31: Kein AV-Umriss für das Gebäude 192041761</t>
  </si>
  <si>
    <t>31: Kein AV-Umriss für das Gebäude 502112790</t>
  </si>
  <si>
    <t>31: Kein AV-Umriss für das Gebäude 191906788</t>
  </si>
  <si>
    <t>31: Kein AV-Umriss für das Gebäude 502167749</t>
  </si>
  <si>
    <t>31: Kein AV-Umriss für das Gebäude 191979553</t>
  </si>
  <si>
    <t>31: Kein AV-Umriss für das Gebäude 192042260</t>
  </si>
  <si>
    <t>31: Kein AV-Umriss für das Gebäude 192042261</t>
  </si>
  <si>
    <t>31: Kein AV-Umriss für das Gebäude 192042262</t>
  </si>
  <si>
    <t>31: Kein AV-Umriss für das Gebäude 192042263</t>
  </si>
  <si>
    <t>31: Kein AV-Umriss für das Gebäude 192042264</t>
  </si>
  <si>
    <t>31: Kein AV-Umriss für das Gebäude 192042265</t>
  </si>
  <si>
    <t>31: Kein AV-Umriss für das Gebäude 192042266</t>
  </si>
  <si>
    <t>31: Kein AV-Umriss für das Gebäude 192042267</t>
  </si>
  <si>
    <t>31: Kein AV-Umriss für das Gebäude 502102813</t>
  </si>
  <si>
    <t>31: Kein AV-Umriss für das Gebäude 502104458</t>
  </si>
  <si>
    <t>31: Kein AV-Umriss für das Gebäude 502104459</t>
  </si>
  <si>
    <t>31: Kein AV-Umriss für das Gebäude 191949465</t>
  </si>
  <si>
    <t>31: Kein AV-Umriss für das Gebäude 192041657</t>
  </si>
  <si>
    <t>35: überholt im GWR. AV-Umriss schon verknüpft mit dem Gebäude mit EGID 1264061</t>
  </si>
  <si>
    <t>35: überholt im GWR. AV-Umriss schon verknüpft mit dem Gebäude mit EGID 191705696</t>
  </si>
  <si>
    <t>35: überholt im GWR. AV-Umriss schon verknüpft mit dem Gebäude mit EGID 191948541</t>
  </si>
  <si>
    <t>35: überholt im GWR. AV-Umriss schon verknüpft mit dem Gebäude mit EGID 1422396</t>
  </si>
  <si>
    <t>42: die Kategorie 1060 ist mit dem Topic Einzelobjekte der AV nicht kohärent &lt;/br&gt;62: 3 GWR-Gebäude (502277019, 502277020, 502277021) innerhalb des gleichen AV-Gebäudes</t>
  </si>
  <si>
    <t>2604838.400 1203027.130</t>
  </si>
  <si>
    <t>2592432.397 1224706.401</t>
  </si>
  <si>
    <t>2614391.807 1212479.758</t>
  </si>
  <si>
    <t>2613711.000 1157318.000</t>
  </si>
  <si>
    <t>2614669.577 1184326.350</t>
  </si>
  <si>
    <t>2614672.263 1184328.988</t>
  </si>
  <si>
    <t>2614646.403 1184328.888</t>
  </si>
  <si>
    <t>2589733.757 1219126.455</t>
  </si>
  <si>
    <t>2597509.320 1150186.171</t>
  </si>
  <si>
    <t>2595849.500 1152360.125</t>
  </si>
  <si>
    <t>2597828.169 1149957.460</t>
  </si>
  <si>
    <t>2587104.250 1140404.375</t>
  </si>
  <si>
    <t>2612883.562 1180100.795</t>
  </si>
  <si>
    <t>2620264.200 1236026.700</t>
  </si>
  <si>
    <t>2599128.856 1200901.740</t>
  </si>
  <si>
    <t>2606448.680 1215109.569</t>
  </si>
  <si>
    <t>2606874.142 1218023.827</t>
  </si>
  <si>
    <t>2633089.044 1168606.807</t>
  </si>
  <si>
    <t>2609645.701 1190648.406</t>
  </si>
  <si>
    <t>2604378.288 1187524.350</t>
  </si>
  <si>
    <t>2630689.350 1196341.106</t>
  </si>
  <si>
    <t>2612067.276 1182702.765</t>
  </si>
  <si>
    <t>2612631.527 1183332.593</t>
  </si>
  <si>
    <t>2613762.984 1174903.195</t>
  </si>
  <si>
    <t>2619937.497 1227325.276</t>
  </si>
  <si>
    <t>52: Der AV-EGID 191904295ist nicht kohärent mit dem GWR-EGID 191904323&lt;/br&gt;52: Der AV-EGID 191904323ist nicht kohärent mit dem GWR-EGID 191904295&lt;/br&gt;62: 2 GWR-Gebäude (191904323, 192010183) innerhalb des gleichen AV-Gebäudes</t>
  </si>
  <si>
    <t>52: Der AV-EGID 191904295ist nicht kohärent mit dem GWR-EGID 192010183&lt;/br&gt;62: 2 GWR-Gebäude (191904323, 192010183) innerhalb des gleichen AV-Gebäudes</t>
  </si>
  <si>
    <t>31: Kein AV-Umriss für das Gebäude 192042397</t>
  </si>
  <si>
    <t>31: Kein AV-Umriss für das Gebäude 191958690</t>
  </si>
  <si>
    <t>31: Kein AV-Umriss für das Gebäude 504041529</t>
  </si>
  <si>
    <t>31: Kein AV-Umriss für das Gebäude 504032721</t>
  </si>
  <si>
    <t>31: Kein AV-Umriss für das Gebäude 191879697</t>
  </si>
  <si>
    <t>31: Kein AV-Umriss für das Gebäude 191997390</t>
  </si>
  <si>
    <t>31: Kein AV-Umriss für das Gebäude 400084001</t>
  </si>
  <si>
    <t>31: Kein AV-Umriss für das Gebäude 192042380</t>
  </si>
  <si>
    <t>31: Kein AV-Umriss für das Gebäude 502038755</t>
  </si>
  <si>
    <t>31: Kein AV-Umriss für das Gebäude 192029652&lt;/br&gt;33: Das Gebäude 192029652 has GSTAT '1003 im Bau'</t>
  </si>
  <si>
    <t>35: überholt im GWR. AV-Umriss schon verknüpft mit dem Gebäude mit EGID 1268699</t>
  </si>
  <si>
    <t>35: überholt im GWR. AV-Umriss schon verknüpft mit dem Gebäude mit EGID 191968624</t>
  </si>
  <si>
    <t>35: überholt im GWR. AV-Umriss schon verknüpft mit dem Gebäude mit EGID 192011077</t>
  </si>
  <si>
    <t>35: überholt im GWR. AV-Umriss schon verknüpft mit dem Gebäude mit EGID 191869382</t>
  </si>
  <si>
    <t>2626206.250 1227990.125</t>
  </si>
  <si>
    <t>2627395.000 1231813.000</t>
  </si>
  <si>
    <t>2593900.000 1202770.000</t>
  </si>
  <si>
    <t>2615980.000 1221581.000</t>
  </si>
  <si>
    <t>2616024.500 1221699.250</t>
  </si>
  <si>
    <t>2615939.000 1158716.000</t>
  </si>
  <si>
    <t>2628256.750 1167682.125</t>
  </si>
  <si>
    <t>2632735.270 1169570.650</t>
  </si>
  <si>
    <t>2609254.250 1192171.375</t>
  </si>
  <si>
    <t>2609022.000 1191587.625</t>
  </si>
  <si>
    <t>2609045.000 1191592.375</t>
  </si>
  <si>
    <t>2608998.250 1191433.625</t>
  </si>
  <si>
    <t>2608204.750 1190763.375</t>
  </si>
  <si>
    <t>2610140.000 1178135.000</t>
  </si>
  <si>
    <t>2616677.000 1234070.000</t>
  </si>
  <si>
    <t>2645447.241 1178351.824</t>
  </si>
  <si>
    <t>2609522.836 1191867.090</t>
  </si>
  <si>
    <t>2608699.870 1191173.834</t>
  </si>
  <si>
    <t>2608760.743 1191061.514</t>
  </si>
  <si>
    <t>2608735.381 1190965.667</t>
  </si>
  <si>
    <t>2589107.564 1146282.820</t>
  </si>
  <si>
    <t>2618413.205 1180322.924</t>
  </si>
  <si>
    <t>31: Kein AV-Umriss für das Gebäude 191986720</t>
  </si>
  <si>
    <t>31: Kein AV-Umriss für das Gebäude 192007809</t>
  </si>
  <si>
    <t>31: Kein AV-Umriss für das Gebäude 192001051</t>
  </si>
  <si>
    <t>31: Kein AV-Umriss für das Gebäude 191918783</t>
  </si>
  <si>
    <t>31: Kein AV-Umriss für das Gebäude 191960707</t>
  </si>
  <si>
    <t>31: Kein AV-Umriss für das Gebäude 191927261</t>
  </si>
  <si>
    <t>31: Kein AV-Umriss für das Gebäude 191997587</t>
  </si>
  <si>
    <t>31: Kein AV-Umriss für das Gebäude 192042858</t>
  </si>
  <si>
    <t>31: Kein AV-Umriss für das Gebäude 192042866</t>
  </si>
  <si>
    <t>31: Kein AV-Umriss für das Gebäude 192042868</t>
  </si>
  <si>
    <t>31: Kein AV-Umriss für das Gebäude 192042872</t>
  </si>
  <si>
    <t>31: Kein AV-Umriss für das Gebäude 192042944</t>
  </si>
  <si>
    <t>31: Kein AV-Umriss für das Gebäude 191901873</t>
  </si>
  <si>
    <t>31: Kein AV-Umriss für das Gebäude 191956664</t>
  </si>
  <si>
    <t>35: überholt im GWR. AV-Umriss schon verknüpft mit dem Gebäude mit EGID 190635631</t>
  </si>
  <si>
    <t>35: überholt im GWR. AV-Umriss schon verknüpft mit dem Gebäude mit EGID 192026609</t>
  </si>
  <si>
    <t>2620269.500 1204097.875</t>
  </si>
  <si>
    <t>31: Kein AV-Umriss für das Gebäude 191984273</t>
  </si>
  <si>
    <t>2595429.000 1206281.000</t>
  </si>
  <si>
    <t>2598235.208 1179028.708</t>
  </si>
  <si>
    <t>2597823.041 1180914.541</t>
  </si>
  <si>
    <t>2593488.795 1187448.617</t>
  </si>
  <si>
    <t>2605688.750 1184115.375</t>
  </si>
  <si>
    <t>2616307.000 1181438.000</t>
  </si>
  <si>
    <t>2591946.638 1224824.064</t>
  </si>
  <si>
    <t>2616131.333 1230610.929</t>
  </si>
  <si>
    <t>31: Kein AV-Umriss für das Gebäude 192008785</t>
  </si>
  <si>
    <t>31: Kein AV-Umriss für das Gebäude 192043977</t>
  </si>
  <si>
    <t>31: Kein AV-Umriss für das Gebäude 192044018</t>
  </si>
  <si>
    <t>31: Kein AV-Umriss für das Gebäude 192043850</t>
  </si>
  <si>
    <t>31: Kein AV-Umriss für das Gebäude 191958904</t>
  </si>
  <si>
    <t>31: Kein AV-Umriss für das Gebäude 191969849</t>
  </si>
  <si>
    <t>35: überholt im GWR. AV-Umriss schon verknüpft mit dem Gebäude mit EGID 502139585</t>
  </si>
  <si>
    <t>2597872.000 1212674.000</t>
  </si>
  <si>
    <t>2628525.000 1234017.000</t>
  </si>
  <si>
    <t>2600310.500 1199685.200</t>
  </si>
  <si>
    <t>2611123.000 1199659.000</t>
  </si>
  <si>
    <t>2601418.783 1203226.143</t>
  </si>
  <si>
    <t>2579246.775 1206612.175</t>
  </si>
  <si>
    <t>2622984.000 1156517.000</t>
  </si>
  <si>
    <t>2620567.000 1164331.000</t>
  </si>
  <si>
    <t>2613781.000 1184868.500</t>
  </si>
  <si>
    <t>2583717.500 1195585.875</t>
  </si>
  <si>
    <t>2583862.958 1195565.958</t>
  </si>
  <si>
    <t>2625719.000 1197675.000</t>
  </si>
  <si>
    <t>2615059.000 1183050.000</t>
  </si>
  <si>
    <t>2616416.000 1177014.000</t>
  </si>
  <si>
    <t>2610872.000 1180465.000</t>
  </si>
  <si>
    <t>2610864.000 1180370.000</t>
  </si>
  <si>
    <t>2602695.830 1201421.468</t>
  </si>
  <si>
    <t>2600730.907 1205300.152</t>
  </si>
  <si>
    <t>2614296.446 1211224.424</t>
  </si>
  <si>
    <t>2614262.571 1197322.469</t>
  </si>
  <si>
    <t>2578775.929 1217163.297</t>
  </si>
  <si>
    <t>2657821.503 1178050.704</t>
  </si>
  <si>
    <t>2597539.152 1141618.903</t>
  </si>
  <si>
    <t>2594585.224 1156211.257</t>
  </si>
  <si>
    <t>2622852.435 1209361.591</t>
  </si>
  <si>
    <t>2623589.017 1208832.071</t>
  </si>
  <si>
    <t>2622234.497 1209352.580</t>
  </si>
  <si>
    <t>2622377.743 1209477.907</t>
  </si>
  <si>
    <t>31: Kein AV-Umriss für das Gebäude 192026891</t>
  </si>
  <si>
    <t>31: Kein AV-Umriss für das Gebäude 192022719</t>
  </si>
  <si>
    <t>31: Kein AV-Umriss für das Gebäude 192022720</t>
  </si>
  <si>
    <t>31: Kein AV-Umriss für das Gebäude 192034719</t>
  </si>
  <si>
    <t>31: Kein AV-Umriss für das Gebäude 1340311</t>
  </si>
  <si>
    <t>31: Kein AV-Umriss für das Gebäude 191987883</t>
  </si>
  <si>
    <t>31: Kein AV-Umriss für das Gebäude 192007945</t>
  </si>
  <si>
    <t>31: Kein AV-Umriss für das Gebäude 192022743</t>
  </si>
  <si>
    <t>31: Kein AV-Umriss für das Gebäude 191901720</t>
  </si>
  <si>
    <t>31: Kein AV-Umriss für das Gebäude 191992614</t>
  </si>
  <si>
    <t>31: Kein AV-Umriss für das Gebäude 191993815</t>
  </si>
  <si>
    <t>35: überholt im GWR. AV-Umriss schon verknüpft mit dem Gebäude mit EGID 1255002</t>
  </si>
  <si>
    <t>35: überholt im GWR. AV-Umriss schon verknüpft mit dem Gebäude mit EGID 1267848</t>
  </si>
  <si>
    <t>35: überholt im GWR. AV-Umriss schon verknüpft mit dem Gebäude mit EGID 1230683</t>
  </si>
  <si>
    <t>35: überholt im GWR. AV-Umriss schon verknüpft mit dem Gebäude mit EGID 1269215</t>
  </si>
  <si>
    <t>35: überholt im GWR. AV-Umriss schon verknüpft mit dem Gebäude mit EGID 504033406</t>
  </si>
  <si>
    <t>35: überholt im GWR. AV-Umriss schon verknüpft mit dem Gebäude mit EGID 190209392</t>
  </si>
  <si>
    <t>35: überholt im GWR. AV-Umriss schon verknüpft mit dem Gebäude mit EGID 192000506</t>
  </si>
  <si>
    <t>35: überholt im GWR. AV-Umriss schon verknüpft mit dem Gebäude mit EGID 502253088</t>
  </si>
  <si>
    <t>14: AV-Gebäude verknüpft mit EGID 504062280, but status is 'abgebrochen / aufgehoben'&lt;/br&gt;42: die Kategorie 1080 ist mit dem Topic Bodenbedeckung der AV nicht kohärent</t>
  </si>
  <si>
    <t>2590086.232 1215519.384</t>
  </si>
  <si>
    <t>2598000.260 1199520.260</t>
  </si>
  <si>
    <t>2604459.000 1203759.000</t>
  </si>
  <si>
    <t>2614258.596 1212140.369</t>
  </si>
  <si>
    <t>2610603.000 1215644.000</t>
  </si>
  <si>
    <t>2580422.842 1208062.714</t>
  </si>
  <si>
    <t>2628527.697 1171983.522</t>
  </si>
  <si>
    <t>2614790.000 1181294.000</t>
  </si>
  <si>
    <t>2619646.250 1226721.625</t>
  </si>
  <si>
    <t>2619308.250 1235900.625</t>
  </si>
  <si>
    <t>2592966.629 1197987.243</t>
  </si>
  <si>
    <t>2595962.579 1200948.974</t>
  </si>
  <si>
    <t>31: Kein AV-Umriss für das Gebäude 192045434&lt;/br&gt;33: Das Gebäude 192045434 has GSTAT '1003 im Bau'</t>
  </si>
  <si>
    <t>31: Kein AV-Umriss für das Gebäude 192045197</t>
  </si>
  <si>
    <t>31: Kein AV-Umriss für das Gebäude 192034337</t>
  </si>
  <si>
    <t>31: Kein AV-Umriss für das Gebäude 191990436</t>
  </si>
  <si>
    <t>31: Kein AV-Umriss für das Gebäude 191979518</t>
  </si>
  <si>
    <t>31: Kein AV-Umriss für das Gebäude 192045889</t>
  </si>
  <si>
    <t>31: Kein AV-Umriss für das Gebäude 191971103</t>
  </si>
  <si>
    <t>35: überholt im GWR. AV-Umriss schon verknüpft mit dem Gebäude mit EGID 191427101</t>
  </si>
  <si>
    <t>35: überholt im GWR. AV-Umriss schon verknüpft mit dem Gebäude mit EGID 192007413</t>
  </si>
  <si>
    <t>Neubrückstrasse</t>
  </si>
  <si>
    <t>190u</t>
  </si>
  <si>
    <t>Herrenschwanden</t>
  </si>
  <si>
    <t>ARA Region Bern</t>
  </si>
  <si>
    <t>1341</t>
  </si>
  <si>
    <t>CH694676063595</t>
  </si>
  <si>
    <t>2589530.000 1213687.000</t>
  </si>
  <si>
    <t>2589462.000 1213627.000</t>
  </si>
  <si>
    <t>2589473.000 1213666.000</t>
  </si>
  <si>
    <t>2589254.000 1213668.000</t>
  </si>
  <si>
    <t>2626468.375 1226465.375</t>
  </si>
  <si>
    <t>2623516.818 1229265.646</t>
  </si>
  <si>
    <t>2599233.480 1202343.840</t>
  </si>
  <si>
    <t>2599843.189 1198429.970</t>
  </si>
  <si>
    <t>2570544.250 1207464.500</t>
  </si>
  <si>
    <t>2602905.568 1212228.092</t>
  </si>
  <si>
    <t>2614803.121 1187919.286</t>
  </si>
  <si>
    <t>2589223.808 1193925.085</t>
  </si>
  <si>
    <t>2587920.839 1218958.912</t>
  </si>
  <si>
    <t>2587882.600 1218961.991</t>
  </si>
  <si>
    <t>2587863.736 1219175.259</t>
  </si>
  <si>
    <t>2587663.563 1219346.074</t>
  </si>
  <si>
    <t>2587664.809 1219344.023</t>
  </si>
  <si>
    <t>2584646.600 1218258.900</t>
  </si>
  <si>
    <t>2585072.088 1219227.719</t>
  </si>
  <si>
    <t>2585106.391 1219215.578</t>
  </si>
  <si>
    <t>2585083.874 1219244.972</t>
  </si>
  <si>
    <t>2591870.083 1220191.187</t>
  </si>
  <si>
    <t>2596584.073 1164125.607</t>
  </si>
  <si>
    <t>2592917.495 1140410.518</t>
  </si>
  <si>
    <t>2591725.923 1184558.326</t>
  </si>
  <si>
    <t>2609859.191 1183784.947</t>
  </si>
  <si>
    <t>2609859.378 1183788.531</t>
  </si>
  <si>
    <t>2609849.776 1183763.425</t>
  </si>
  <si>
    <t>2628247.628 1197651.934</t>
  </si>
  <si>
    <t>2628546.878 1182466.786</t>
  </si>
  <si>
    <t>2628543.990 1182465.440</t>
  </si>
  <si>
    <t>2626675.410 1181796.383</t>
  </si>
  <si>
    <t>2615648.505 1181860.872</t>
  </si>
  <si>
    <t>2615644.977 1181855.078</t>
  </si>
  <si>
    <t>2615655.116 1181829.847</t>
  </si>
  <si>
    <t>2615640.670 1181825.483</t>
  </si>
  <si>
    <t>2614785.037 1178681.976</t>
  </si>
  <si>
    <t>2623367.439 1209477.016</t>
  </si>
  <si>
    <t>2623371.102 1209476.998</t>
  </si>
  <si>
    <t>2623374.746 1209476.448</t>
  </si>
  <si>
    <t>2593297.967 1209725.015</t>
  </si>
  <si>
    <t>2593300.671 1209719.951</t>
  </si>
  <si>
    <t>2627053.047 1223774.567</t>
  </si>
  <si>
    <t>2599137.259 1200894.107</t>
  </si>
  <si>
    <t>2601293.903 1204560.495</t>
  </si>
  <si>
    <t>2604178.762 1200283.459</t>
  </si>
  <si>
    <t>2585225.239 1220795.841</t>
  </si>
  <si>
    <t>2586743.275 1221835.018</t>
  </si>
  <si>
    <t>2586770.180 1221803.405</t>
  </si>
  <si>
    <t>2587568.480 1222254.516</t>
  </si>
  <si>
    <t>2587574.048 1222258.047</t>
  </si>
  <si>
    <t>2587539.511 1222955.800</t>
  </si>
  <si>
    <t>2587547.567 1222942.963</t>
  </si>
  <si>
    <t>2587555.579 1222930.096</t>
  </si>
  <si>
    <t>2614280.740 1211412.104</t>
  </si>
  <si>
    <t>2606208.311 1210281.497</t>
  </si>
  <si>
    <t>2602188.949 1208874.208</t>
  </si>
  <si>
    <t>2615316.513 1187728.329</t>
  </si>
  <si>
    <t>2607543.829 1195028.745</t>
  </si>
  <si>
    <t>2589216.981 1193956.209</t>
  </si>
  <si>
    <t>2599025.311 1236852.734</t>
  </si>
  <si>
    <t>2572689.388 1218531.068</t>
  </si>
  <si>
    <t>2586906.993 1218683.583</t>
  </si>
  <si>
    <t>2587454.512 1219366.821</t>
  </si>
  <si>
    <t>2585989.536 1212589.344</t>
  </si>
  <si>
    <t>2585383.342 1212828.970</t>
  </si>
  <si>
    <t>2585390.236 1213548.269</t>
  </si>
  <si>
    <t>2582815.746 1214405.049</t>
  </si>
  <si>
    <t>2582458.965 1214639.818</t>
  </si>
  <si>
    <t>2581569.686 1212769.989</t>
  </si>
  <si>
    <t>2610615.290 1172891.564</t>
  </si>
  <si>
    <t>2597636.871 1164946.749</t>
  </si>
  <si>
    <t>2596071.784 1155979.522</t>
  </si>
  <si>
    <t>2596805.377 1180756.047</t>
  </si>
  <si>
    <t>2605439.249 1178088.691</t>
  </si>
  <si>
    <t>2612046.369 1182417.742</t>
  </si>
  <si>
    <t>2607222.806 1176472.410</t>
  </si>
  <si>
    <t>2622846.492 1208662.318</t>
  </si>
  <si>
    <t>2625560.059 1208175.282</t>
  </si>
  <si>
    <t>2627277.374 1209759.301</t>
  </si>
  <si>
    <t>2628166.957 1209986.545</t>
  </si>
  <si>
    <t>2623013.867 1208728.688</t>
  </si>
  <si>
    <t>2623372.272 1209479.110</t>
  </si>
  <si>
    <t>2620143.378 1226432.945</t>
  </si>
  <si>
    <t>2618299.897 1231042.102</t>
  </si>
  <si>
    <t>42: die Kategorie 1060  ist mit dem Topic Einzelobjekte der AV nicht kohärent &lt;/br&gt;62: 3 GWR-Gebäude (502256952, 502256953, 502256954) innerhalb des gleichen AV-Gebäudes</t>
  </si>
  <si>
    <t>31: Kein AV-Umriss für das Gebäude 191788759</t>
  </si>
  <si>
    <t>31: Kein AV-Umriss für das Gebäude 191788760</t>
  </si>
  <si>
    <t>31: Kein AV-Umriss für das Gebäude 191788770</t>
  </si>
  <si>
    <t>31: Kein AV-Umriss für das Gebäude 191996661</t>
  </si>
  <si>
    <t>31: Kein AV-Umriss für das Gebäude 1266883</t>
  </si>
  <si>
    <t>31: Kein AV-Umriss für das Gebäude 504008901</t>
  </si>
  <si>
    <t>31: Kein AV-Umriss für das Gebäude 191973046</t>
  </si>
  <si>
    <t>31: Kein AV-Umriss für das Gebäude 504041244</t>
  </si>
  <si>
    <t>31: Kein AV-Umriss für das Gebäude 504032182</t>
  </si>
  <si>
    <t>31: Kein AV-Umriss für das Gebäude 504032343</t>
  </si>
  <si>
    <t>31: Kein AV-Umriss für das Gebäude 504032344</t>
  </si>
  <si>
    <t>31: Kein AV-Umriss für das Gebäude 191980846</t>
  </si>
  <si>
    <t>31: Kein AV-Umriss für das Gebäude 502057814</t>
  </si>
  <si>
    <t>31: Kein AV-Umriss für das Gebäude 502058031</t>
  </si>
  <si>
    <t>31: Kein AV-Umriss für das Gebäude 502058032</t>
  </si>
  <si>
    <t>31: Kein AV-Umriss für das Gebäude 502059385</t>
  </si>
  <si>
    <t>31: Kein AV-Umriss für das Gebäude 504019456</t>
  </si>
  <si>
    <t>31: Kein AV-Umriss für das Gebäude 504004517</t>
  </si>
  <si>
    <t>31: Kein AV-Umriss für das Gebäude 502138462</t>
  </si>
  <si>
    <t>31: Kein AV-Umriss für das Gebäude 502017415</t>
  </si>
  <si>
    <t>31: Kein AV-Umriss für das Gebäude 502017416</t>
  </si>
  <si>
    <t>31: Kein AV-Umriss für das Gebäude 502017418</t>
  </si>
  <si>
    <t>31: Kein AV-Umriss für das Gebäude 1762241</t>
  </si>
  <si>
    <t>31: Kein AV-Umriss für das Gebäude 504005401</t>
  </si>
  <si>
    <t>31: Kein AV-Umriss für das Gebäude 504005402</t>
  </si>
  <si>
    <t>31: Kein AV-Umriss für das Gebäude 504005425</t>
  </si>
  <si>
    <t>31: Kein AV-Umriss für das Gebäude 502103052</t>
  </si>
  <si>
    <t>31: Kein AV-Umriss für das Gebäude 502103053</t>
  </si>
  <si>
    <t>31: Kein AV-Umriss für das Gebäude 502103054</t>
  </si>
  <si>
    <t>31: Kein AV-Umriss für das Gebäude 502103056</t>
  </si>
  <si>
    <t>31: Kein AV-Umriss für das Gebäude 400088439</t>
  </si>
  <si>
    <t>35: überholt im GWR. AV-Umriss schon verknüpft mit dem Gebäude mit EGID 504009823</t>
  </si>
  <si>
    <t>35: überholt im GWR. AV-Umriss schon verknüpft mit dem Gebäude mit EGID 192043992</t>
  </si>
  <si>
    <t>35: überholt im GWR. AV-Umriss schon verknüpft mit dem Gebäude mit EGID 192042304</t>
  </si>
  <si>
    <t>35: überholt im GWR. AV-Umriss schon verknüpft mit dem Gebäude mit EGID 192020530</t>
  </si>
  <si>
    <t>35: überholt im GWR. AV-Umriss schon verknüpft mit dem Gebäude mit EGID 192020536</t>
  </si>
  <si>
    <t>35: überholt im GWR. AV-Umriss schon verknüpft mit dem Gebäude mit EGID 192042239</t>
  </si>
  <si>
    <t>35: überholt im GWR. AV-Umriss schon verknüpft mit dem Gebäude mit EGID 191991651</t>
  </si>
  <si>
    <t>42: die Kategorie 1060 ist mit dem Topic Einzelobjekte der AV nicht kohärent &lt;/br&gt;62: 3 GWR-Gebäude (502256952, 502256953, 502256954) innerhalb des gleichen AV-Gebäudes</t>
  </si>
  <si>
    <t>Buchserstrasse</t>
  </si>
  <si>
    <t>65</t>
  </si>
  <si>
    <t>Trafonstation</t>
  </si>
  <si>
    <t>2958</t>
  </si>
  <si>
    <t>CH334687355193</t>
  </si>
  <si>
    <t>Bühlacker</t>
  </si>
  <si>
    <t>CH873579304685</t>
  </si>
  <si>
    <t>CH967046350790</t>
  </si>
  <si>
    <t>592</t>
  </si>
  <si>
    <t>CH180746357092</t>
  </si>
  <si>
    <t>556</t>
  </si>
  <si>
    <t>2591152.000 1216622.000</t>
  </si>
  <si>
    <t>2603040.159 1199167.919</t>
  </si>
  <si>
    <t>2612945.889 1208883.437</t>
  </si>
  <si>
    <t>2613260.407 1209169.068</t>
  </si>
  <si>
    <t>2647253.000 1177180.000</t>
  </si>
  <si>
    <t>2608925.760 1199043.536</t>
  </si>
  <si>
    <t>2608942.123 1199048.991</t>
  </si>
  <si>
    <t>2606578.500 1195820.125</t>
  </si>
  <si>
    <t>2601465.250 1172370.875</t>
  </si>
  <si>
    <t>2605870.000 1176880.000</t>
  </si>
  <si>
    <t>2621453.000 1173627.000</t>
  </si>
  <si>
    <t>2614430.000 1175650.000</t>
  </si>
  <si>
    <t>2621973.500 1207132.625</t>
  </si>
  <si>
    <t>2621994.500 1207140.625</t>
  </si>
  <si>
    <t>2623799.434 1208393.946</t>
  </si>
  <si>
    <t>2625511.108 1209580.098</t>
  </si>
  <si>
    <t>2612672.714 1209123.428</t>
  </si>
  <si>
    <t>2612657.007 1209154.743</t>
  </si>
  <si>
    <t>2612684.887 1208601.497</t>
  </si>
  <si>
    <t>2590895.556 1222026.864</t>
  </si>
  <si>
    <t>2652797.404 1176537.944</t>
  </si>
  <si>
    <t>2608345.156 1180293.063</t>
  </si>
  <si>
    <t>2608285.960 1180316.991</t>
  </si>
  <si>
    <t>2615534.095 1181395.392</t>
  </si>
  <si>
    <t>2625480.262 1209638.237</t>
  </si>
  <si>
    <t>2625476.102 1209635.367</t>
  </si>
  <si>
    <t>2624965.585 1208116.925</t>
  </si>
  <si>
    <t>41: Status 'bestehend'  ist mit dem Topic Bodenbedeckung projektiert der AV nicht kohärent &lt;/br&gt;62: 2 GWR-Gebäude (192047098, 192047099) innerhalb des gleichen AV-Gebäudes</t>
  </si>
  <si>
    <t>12: Verknüpft mit EGID 191905921 in der gleiche Gemeinde&lt;/br&gt;41: Status 'im Bau' ist mit dem Topic Bodenbedeckung der AV nicht kohärent&lt;/br&gt;62: 2 GWR-Gebäude (191905921, 191905923) innerhalb des gleichen AV-Gebäudes</t>
  </si>
  <si>
    <t>31: Kein AV-Umriss für das Gebäude 191788758</t>
  </si>
  <si>
    <t>31: Kein AV-Umriss für das Gebäude 192047209</t>
  </si>
  <si>
    <t>31: Kein AV-Umriss für das Gebäude 504044784</t>
  </si>
  <si>
    <t>31: Kein AV-Umriss für das Gebäude 504044811</t>
  </si>
  <si>
    <t>31: Kein AV-Umriss für das Gebäude 191986681</t>
  </si>
  <si>
    <t>31: Kein AV-Umriss für das Gebäude 192047253</t>
  </si>
  <si>
    <t>31: Kein AV-Umriss für das Gebäude 192047277</t>
  </si>
  <si>
    <t>31: Kein AV-Umriss für das Gebäude 192038988</t>
  </si>
  <si>
    <t>31: Kein AV-Umriss für das Gebäude 192007953</t>
  </si>
  <si>
    <t>31: Kein AV-Umriss für das Gebäude 192018816</t>
  </si>
  <si>
    <t>31: Kein AV-Umriss für das Gebäude 192018818</t>
  </si>
  <si>
    <t>31: Kein AV-Umriss für das Gebäude 502257020</t>
  </si>
  <si>
    <t>35: überholt im GWR. AV-Umriss schon verknüpft mit dem Gebäude mit EGID 191850122</t>
  </si>
  <si>
    <t>43: Gebäude 191956183 verknüpft, aber die Kategorie ist '1010 provisorische Unterkunft'</t>
  </si>
  <si>
    <t>43: Gebäude 191956192 verknüpft, aber die Kategorie ist '1010 provisorische Unterkunft'</t>
  </si>
  <si>
    <t>12: Verknüpft mit EGID 191996542 in der gleiche Gemeinde&lt;/br&gt;42: die Kategorie 1080 ist mit dem Topic Bodenbedeckung der AV nicht kohärent</t>
  </si>
  <si>
    <t>Hohfuhren</t>
  </si>
  <si>
    <t>80a</t>
  </si>
  <si>
    <t>CH622808463588</t>
  </si>
  <si>
    <t>1052</t>
  </si>
  <si>
    <t>2584553.225 1232302.349</t>
  </si>
  <si>
    <t>2594207.250 1235038.125</t>
  </si>
  <si>
    <t>2580609.594 1219521.750</t>
  </si>
  <si>
    <t>2610851.000 1182563.000</t>
  </si>
  <si>
    <t>2619607.875 1186337.500</t>
  </si>
  <si>
    <t>2618019.473 1191478.441</t>
  </si>
  <si>
    <t>2618153.996 1191419.634</t>
  </si>
  <si>
    <t>31: Kein AV-Umriss für das Gebäude 192047627</t>
  </si>
  <si>
    <t>35: überholt im GWR. AV-Umriss schon verknüpft mit dem Gebäude mit EGID 502136521</t>
  </si>
  <si>
    <t>35: überholt im GWR. AV-Umriss schon verknüpft mit dem Gebäude mit EGID 1416030</t>
  </si>
  <si>
    <t>35: überholt im GWR. AV-Umriss schon verknüpft mit dem Gebäude mit EGID 3070530</t>
  </si>
  <si>
    <t>Bürenstrasse</t>
  </si>
  <si>
    <t>CH973533334668</t>
  </si>
  <si>
    <t>1396</t>
  </si>
  <si>
    <t>26</t>
  </si>
  <si>
    <t>1499</t>
  </si>
  <si>
    <t>CH213510463204</t>
  </si>
  <si>
    <t>Rue des Jonchères</t>
  </si>
  <si>
    <t>58</t>
  </si>
  <si>
    <t>St-Imier</t>
  </si>
  <si>
    <t>couvert à voiture</t>
  </si>
  <si>
    <t>CH659946403529</t>
  </si>
  <si>
    <t>281</t>
  </si>
  <si>
    <t>Schlossstrasse</t>
  </si>
  <si>
    <t>11b</t>
  </si>
  <si>
    <t>1860</t>
  </si>
  <si>
    <t>CH534616350333</t>
  </si>
  <si>
    <t>2590185.000 1214037.000</t>
  </si>
  <si>
    <t>2590176.000 1214009.000</t>
  </si>
  <si>
    <t>2598034.000 1212493.000</t>
  </si>
  <si>
    <t>2597434.000 1212625.000</t>
  </si>
  <si>
    <t>2612834.641 1212334.021</t>
  </si>
  <si>
    <t>2610097.000 1215412.500</t>
  </si>
  <si>
    <t>2610096.250 1215411.750</t>
  </si>
  <si>
    <t>2610082.500 1215420.250</t>
  </si>
  <si>
    <t>2579191.500 1222553.125</t>
  </si>
  <si>
    <t>2566509.562 1222365.625</t>
  </si>
  <si>
    <t>2605960.000 1210968.875</t>
  </si>
  <si>
    <t>2626109.970 1167073.522</t>
  </si>
  <si>
    <t>2603182.000 1184541.000</t>
  </si>
  <si>
    <t>2603344.000 1184287.000</t>
  </si>
  <si>
    <t>2614199.886 1177808.037</t>
  </si>
  <si>
    <t>2579135.277 1222392.097</t>
  </si>
  <si>
    <t>2613488.169 1176507.085</t>
  </si>
  <si>
    <t>41: Status 'bestehend'  ist mit dem Topic Bodenbedeckung projektiert der AV nicht kohärent &lt;/br&gt;62: 2 GWR-Gebäude (192048011, 192048014) innerhalb des gleichen AV-Gebäudes</t>
  </si>
  <si>
    <t>12: Verknüpft mit EGID 191905923 in der gleiche Gemeinde&lt;/br&gt;41: Status 'im Bau' ist mit dem Topic Bodenbedeckung der AV nicht kohärent&lt;/br&gt;62: 2 GWR-Gebäude (191905921, 191905923) innerhalb des gleichen AV-Gebäudes</t>
  </si>
  <si>
    <t>31: Kein AV-Umriss für das Gebäude 191953658</t>
  </si>
  <si>
    <t>31: Kein AV-Umriss für das Gebäude 191989892</t>
  </si>
  <si>
    <t>31: Kein AV-Umriss für das Gebäude 191999992</t>
  </si>
  <si>
    <t>31: Kein AV-Umriss für das Gebäude 192047884</t>
  </si>
  <si>
    <t>31: Kein AV-Umriss für das Gebäude 192048020</t>
  </si>
  <si>
    <t>31: Kein AV-Umriss für das Gebäude 192048091</t>
  </si>
  <si>
    <t>31: Kein AV-Umriss für das Gebäude 192044551&lt;/br&gt;33: Das Gebäude 192044551 has GSTAT '1003 im Bau'</t>
  </si>
  <si>
    <t>31: Kein AV-Umriss für das Gebäude 192048148</t>
  </si>
  <si>
    <t>31: Kein AV-Umriss für das Gebäude 191994133</t>
  </si>
  <si>
    <t>31: Kein AV-Umriss für das Gebäude 192005283</t>
  </si>
  <si>
    <t>35: überholt im GWR. AV-Umriss schon verknüpft mit dem Gebäude mit EGID 502191441</t>
  </si>
  <si>
    <t>35: überholt im GWR. AV-Umriss schon verknüpft mit dem Gebäude mit EGID 9005391</t>
  </si>
  <si>
    <t>35: überholt im GWR. AV-Umriss schon verknüpft mit dem Gebäude mit EGID 504001604</t>
  </si>
  <si>
    <t>35: überholt im GWR. AV-Umriss schon verknüpft mit dem Gebäude mit EGID 192022856</t>
  </si>
  <si>
    <t>Räbmatt</t>
  </si>
  <si>
    <t>561</t>
  </si>
  <si>
    <t>Moosweg</t>
  </si>
  <si>
    <t>Salzsilo</t>
  </si>
  <si>
    <t>CH101135134645</t>
  </si>
  <si>
    <t>540</t>
  </si>
  <si>
    <t>Mühlematteweg</t>
  </si>
  <si>
    <t>4</t>
  </si>
  <si>
    <t>Oey</t>
  </si>
  <si>
    <t>CH813689648324</t>
  </si>
  <si>
    <t>3104</t>
  </si>
  <si>
    <t>2587463.219 1207759.832</t>
  </si>
  <si>
    <t>2591707.000 1208441.000</t>
  </si>
  <si>
    <t>2630459.676 1221084.775</t>
  </si>
  <si>
    <t>2596891.220 1199873.690</t>
  </si>
  <si>
    <t>2602015.962 1198914.836</t>
  </si>
  <si>
    <t>2601901.122 1198913.500</t>
  </si>
  <si>
    <t>2601915.541 1198901.808</t>
  </si>
  <si>
    <t>2602086.905 1198923.559</t>
  </si>
  <si>
    <t>2585514.083 1219818.868</t>
  </si>
  <si>
    <t>2614794.714 1213537.024</t>
  </si>
  <si>
    <t>2604375.295 1217358.878</t>
  </si>
  <si>
    <t>2600915.000 1207576.000</t>
  </si>
  <si>
    <t>2630816.750 1170482.625</t>
  </si>
  <si>
    <t>2597550.795 1238168.217</t>
  </si>
  <si>
    <t>2598169.699 1238279.387</t>
  </si>
  <si>
    <t>2574716.750 1213338.625</t>
  </si>
  <si>
    <t>2588064.500 1218451.750</t>
  </si>
  <si>
    <t>2583029.707 1215340.159</t>
  </si>
  <si>
    <t>2585795.434 1217784.098</t>
  </si>
  <si>
    <t>2585778.653 1217750.757</t>
  </si>
  <si>
    <t>2614779.194 1169249.687</t>
  </si>
  <si>
    <t>2655931.000 1176205.000</t>
  </si>
  <si>
    <t>2604455.500 1182996.125</t>
  </si>
  <si>
    <t>2605764.115 1182241.566</t>
  </si>
  <si>
    <t>2618332.454 1185858.714</t>
  </si>
  <si>
    <t>2612624.913 1181235.094</t>
  </si>
  <si>
    <t>2612614.126 1181233.907</t>
  </si>
  <si>
    <t>2614527.402 1175347.170</t>
  </si>
  <si>
    <t>2613906.311 1177475.657</t>
  </si>
  <si>
    <t>2630860.255 1213579.746</t>
  </si>
  <si>
    <t>2632451.915 1213583.583</t>
  </si>
  <si>
    <t>2621124.314 1229986.041</t>
  </si>
  <si>
    <t>2599802.138 1215912.125</t>
  </si>
  <si>
    <t>2596628.855 1205773.983</t>
  </si>
  <si>
    <t>2597232.538 1205393.389</t>
  </si>
  <si>
    <t>2596591.900 1205728.972</t>
  </si>
  <si>
    <t>2596589.351 1205729.442</t>
  </si>
  <si>
    <t>2596586.395 1205729.741</t>
  </si>
  <si>
    <t>2606424.747 1200750.185</t>
  </si>
  <si>
    <t>2614142.125 1210808.243</t>
  </si>
  <si>
    <t>2604414.628 1217389.528</t>
  </si>
  <si>
    <t>2608326.213 1213699.866</t>
  </si>
  <si>
    <t>2581719.183 1232554.747</t>
  </si>
  <si>
    <t>2606468.061 1177544.318</t>
  </si>
  <si>
    <t>2614523.812 1175391.731</t>
  </si>
  <si>
    <t>2622530.181 1212162.713</t>
  </si>
  <si>
    <t>2631167.631 1214574.558</t>
  </si>
  <si>
    <t>2630802.463 1212914.469</t>
  </si>
  <si>
    <t>2631201.862 1214640.857</t>
  </si>
  <si>
    <t>2630666.396 1218168.792</t>
  </si>
  <si>
    <t>2632140.539 1217760.571</t>
  </si>
  <si>
    <t>2623153.616 1208214.326</t>
  </si>
  <si>
    <t>2626997.398 1210250.608</t>
  </si>
  <si>
    <t>2629320.036 1214781.815</t>
  </si>
  <si>
    <t>2619177.367 1226504.984</t>
  </si>
  <si>
    <t>2616980.919 1231535.559</t>
  </si>
  <si>
    <t>31: Kein AV-Umriss für das Gebäude 502062406</t>
  </si>
  <si>
    <t>31: Kein AV-Umriss für das Gebäude 192048462&lt;/br&gt;33: Das Gebäude 192048462 has GSTAT '1003 im Bau'</t>
  </si>
  <si>
    <t>31: Kein AV-Umriss für das Gebäude 502023852</t>
  </si>
  <si>
    <t>31: Kein AV-Umriss für das Gebäude 192048523&lt;/br&gt;33: Das Gebäude 192048523 has GSTAT '1003 im Bau'</t>
  </si>
  <si>
    <t>31: Kein AV-Umriss für das Gebäude 504008453</t>
  </si>
  <si>
    <t>31: Kein AV-Umriss für das Gebäude 504010324</t>
  </si>
  <si>
    <t>31: Kein AV-Umriss für das Gebäude 191807795</t>
  </si>
  <si>
    <t>31: Kein AV-Umriss für das Gebäude 191491432</t>
  </si>
  <si>
    <t>31: Kein AV-Umriss für das Gebäude 502122621</t>
  </si>
  <si>
    <t>31: Kein AV-Umriss für das Gebäude 192049196</t>
  </si>
  <si>
    <t>31: Kein AV-Umriss für das Gebäude 504004079</t>
  </si>
  <si>
    <t>31: Kein AV-Umriss für das Gebäude 504004083</t>
  </si>
  <si>
    <t>31: Kein AV-Umriss für das Gebäude 192048696</t>
  </si>
  <si>
    <t>31: Kein AV-Umriss für das Gebäude 502057730</t>
  </si>
  <si>
    <t>31: Kein AV-Umriss für das Gebäude 192049209</t>
  </si>
  <si>
    <t>31: Kein AV-Umriss für das Gebäude 192049153</t>
  </si>
  <si>
    <t>31: Kein AV-Umriss für das Gebäude 502073134</t>
  </si>
  <si>
    <t>31: Kein AV-Umriss für das Gebäude 502055267</t>
  </si>
  <si>
    <t>31: Kein AV-Umriss für das Gebäude 502103419</t>
  </si>
  <si>
    <t>31: Kein AV-Umriss für das Gebäude 502035254</t>
  </si>
  <si>
    <t>31: Kein AV-Umriss für das Gebäude 504056628</t>
  </si>
  <si>
    <t>35: überholt im GWR. AV-Umriss schon verknüpft mit dem Gebäude mit EGID 192046583</t>
  </si>
  <si>
    <t>35: überholt im GWR. AV-Umriss schon verknüpft mit dem Gebäude mit EGID 192046582</t>
  </si>
  <si>
    <t>35: überholt im GWR. AV-Umriss schon verknüpft mit dem Gebäude mit EGID 192047033</t>
  </si>
  <si>
    <t>35: überholt im GWR. AV-Umriss schon verknüpft mit dem Gebäude mit EGID 191727474</t>
  </si>
  <si>
    <t>35: überholt im GWR. AV-Umriss schon verknüpft mit dem Gebäude mit EGID 9008871</t>
  </si>
  <si>
    <t>35: überholt im GWR. AV-Umriss schon verknüpft mit dem Gebäude mit EGID 1381466</t>
  </si>
  <si>
    <t>35: überholt im GWR. AV-Umriss schon verknüpft mit dem Gebäude mit EGID 191754511</t>
  </si>
  <si>
    <t>35: überholt im GWR. AV-Umriss schon verknüpft mit dem Gebäude mit EGID 191983437</t>
  </si>
  <si>
    <t>35: überholt im GWR. AV-Umriss schon verknüpft mit dem Gebäude mit EGID 192023458</t>
  </si>
  <si>
    <t>35: überholt im GWR. AV-Umriss schon verknüpft mit dem Gebäude mit EGID 191985591</t>
  </si>
  <si>
    <t>35: überholt im GWR. AV-Umriss schon verknüpft mit dem Gebäude mit EGID 191978851</t>
  </si>
  <si>
    <t xml:space="preserve">12: Verknüpft mit EGID 192000501 in der gleiche Gemeinde&lt;/br&gt;42: die Kategorie 1060 ist mit dem Topic Einzelobjekte der AV nicht kohärent </t>
  </si>
  <si>
    <t xml:space="preserve">12: Verknüpft mit EGID 191989300 in der gleiche Gemeinde&lt;/br&gt;42: die Kategorie 1060 ist mit dem Topic Einzelobjekte der AV nicht kohärent </t>
  </si>
  <si>
    <t>2590735.000 1216290.000</t>
  </si>
  <si>
    <t>2623500.641 1229250.754</t>
  </si>
  <si>
    <t>2589530.147 1202259.388</t>
  </si>
  <si>
    <t>2587923.500 1222969.930</t>
  </si>
  <si>
    <t>2595398.610 1225909.733</t>
  </si>
  <si>
    <t>2594771.637 1226109.683</t>
  </si>
  <si>
    <t>2600641.457 1224959.113</t>
  </si>
  <si>
    <t>2600626.321 1224961.225</t>
  </si>
  <si>
    <t>2613678.166 1212106.849</t>
  </si>
  <si>
    <t>2566192.325 1222426.476</t>
  </si>
  <si>
    <t>2605577.919 1216154.880</t>
  </si>
  <si>
    <t>2606124.883 1216006.035</t>
  </si>
  <si>
    <t>2608532.000 1218983.000</t>
  </si>
  <si>
    <t>2632790.560 1167727.592</t>
  </si>
  <si>
    <t>2604566.187 1167396.437</t>
  </si>
  <si>
    <t>2588855.000 1147073.000</t>
  </si>
  <si>
    <t>2597064.086 1181260.160</t>
  </si>
  <si>
    <t>2607068.500 1186081.750</t>
  </si>
  <si>
    <t>2610676.000 1182423.000</t>
  </si>
  <si>
    <t>2626805.125 1215091.666</t>
  </si>
  <si>
    <t>2629101.223 1213323.009</t>
  </si>
  <si>
    <t>2622034.500 1226181.875</t>
  </si>
  <si>
    <t>2600955.663 1202819.194</t>
  </si>
  <si>
    <t>2609138.398 1200497.403</t>
  </si>
  <si>
    <t>2594811.693 1225176.012</t>
  </si>
  <si>
    <t>2594839.392 1226108.140</t>
  </si>
  <si>
    <t>2594959.891 1225511.479</t>
  </si>
  <si>
    <t>2612585.460 1213024.061</t>
  </si>
  <si>
    <t>2613586.383 1211834.116</t>
  </si>
  <si>
    <t>2614633.424 1213805.240</t>
  </si>
  <si>
    <t>2567857.319 1222884.908</t>
  </si>
  <si>
    <t>2567740.686 1223134.246</t>
  </si>
  <si>
    <t>2580891.492 1208736.968</t>
  </si>
  <si>
    <t>2578976.111 1206273.471</t>
  </si>
  <si>
    <t>2604341.963 1215298.070</t>
  </si>
  <si>
    <t>2605569.180 1216162.701</t>
  </si>
  <si>
    <t>2594747.415 1156065.246</t>
  </si>
  <si>
    <t>2594752.440 1156041.172</t>
  </si>
  <si>
    <t>2595584.378 1154454.243</t>
  </si>
  <si>
    <t>2624698.642 1209660.935</t>
  </si>
  <si>
    <t>12: Verknüpft mit EGID 191829694 in der gleiche Gemeinde&lt;/br&gt;42: die Kategorie 1060  ist mit dem Topic Einzelobjekte der AV nicht kohärent &lt;/br&gt;61: 2 AV-Gebäude haben den gleichen GWR-EGID</t>
  </si>
  <si>
    <t>31: Kein AV-Umriss für das Gebäude 192049675</t>
  </si>
  <si>
    <t>31: Kein AV-Umriss für das Gebäude 502092483</t>
  </si>
  <si>
    <t>31: Kein AV-Umriss für das Gebäude 191996574</t>
  </si>
  <si>
    <t>31: Kein AV-Umriss für das Gebäude 192049309&lt;/br&gt;33: Das Gebäude 192049309 has GSTAT '1003 im Bau'</t>
  </si>
  <si>
    <t>31: Kein AV-Umriss für das Gebäude 504028155</t>
  </si>
  <si>
    <t>31: Kein AV-Umriss für das Gebäude 504028234</t>
  </si>
  <si>
    <t>31: Kein AV-Umriss für das Gebäude 502066677</t>
  </si>
  <si>
    <t>31: Kein AV-Umriss für das Gebäude 502066678</t>
  </si>
  <si>
    <t>31: Kein AV-Umriss für das Gebäude 504001633</t>
  </si>
  <si>
    <t>31: Kein AV-Umriss für das Gebäude 502123218</t>
  </si>
  <si>
    <t>31: Kein AV-Umriss für das Gebäude 502123234</t>
  </si>
  <si>
    <t>31: Kein AV-Umriss für das Gebäude 191789513</t>
  </si>
  <si>
    <t>31: Kein AV-Umriss für das Gebäude 192049956</t>
  </si>
  <si>
    <t>31: Kein AV-Umriss für das Gebäude 191957128</t>
  </si>
  <si>
    <t>31: Kein AV-Umriss für das Gebäude 502096887</t>
  </si>
  <si>
    <t>31: Kein AV-Umriss für das Gebäude 192049372</t>
  </si>
  <si>
    <t>31: Kein AV-Umriss für das Gebäude 504112936</t>
  </si>
  <si>
    <t>35: überholt im GWR. AV-Umriss schon verknüpft mit dem Gebäude mit EGID 192002128</t>
  </si>
  <si>
    <t>35: überholt im GWR. AV-Umriss schon verknüpft mit dem Gebäude mit EGID 192007252</t>
  </si>
  <si>
    <t>35: überholt im GWR. AV-Umriss schon verknüpft mit dem Gebäude mit EGID 191752514</t>
  </si>
  <si>
    <t>35: überholt im GWR. AV-Umriss schon verknüpft mit dem Gebäude mit EGID 1415936</t>
  </si>
  <si>
    <t>35: überholt im GWR. AV-Umriss schon verknüpft mit dem Gebäude mit EGID 192043130</t>
  </si>
  <si>
    <t>35: überholt im GWR. AV-Umriss schon verknüpft mit dem Gebäude mit EGID 1451620</t>
  </si>
  <si>
    <t>43: Gebäude 191283933 verknüpft, aber die Kategorie ist '1010 provisorische Unterkunft'</t>
  </si>
  <si>
    <t>12: Verknüpft mit EGID 191829694 in der gleiche Gemeinde&lt;/br&gt;42: die Kategorie 1060 ist mit dem Topic Einzelobjekte der AV nicht kohärent &lt;/br&gt;61: 2 AV-Gebäude haben den gleichen GWR-EGID</t>
  </si>
  <si>
    <t>42: die Kategorie 1060 ist mit dem Topic Einzelobjekte der AV nicht kohärent &lt;/br&gt;61: 2 AV-Gebäude haben den gleichen GWR-EGID</t>
  </si>
  <si>
    <t>1026</t>
  </si>
  <si>
    <t>169</t>
  </si>
  <si>
    <t>1026a</t>
  </si>
  <si>
    <t>734</t>
  </si>
  <si>
    <t>Wengi b. Frutigen</t>
  </si>
  <si>
    <t>183</t>
  </si>
  <si>
    <t>909</t>
  </si>
  <si>
    <t>811a</t>
  </si>
  <si>
    <t>1985</t>
  </si>
  <si>
    <t>737</t>
  </si>
  <si>
    <t>2227</t>
  </si>
  <si>
    <t>738</t>
  </si>
  <si>
    <t>2228</t>
  </si>
  <si>
    <t>739</t>
  </si>
  <si>
    <t>2231</t>
  </si>
  <si>
    <t>744</t>
  </si>
  <si>
    <t>2237</t>
  </si>
  <si>
    <t>714</t>
  </si>
  <si>
    <t>983</t>
  </si>
  <si>
    <t>711</t>
  </si>
  <si>
    <t>Mülenen</t>
  </si>
  <si>
    <t>986</t>
  </si>
  <si>
    <t>705</t>
  </si>
  <si>
    <t>1016</t>
  </si>
  <si>
    <t>1017</t>
  </si>
  <si>
    <t>743</t>
  </si>
  <si>
    <t>2235</t>
  </si>
  <si>
    <t>729</t>
  </si>
  <si>
    <t>1372</t>
  </si>
  <si>
    <t>728</t>
  </si>
  <si>
    <t>1386</t>
  </si>
  <si>
    <t>750a</t>
  </si>
  <si>
    <t>1529</t>
  </si>
  <si>
    <t>750</t>
  </si>
  <si>
    <t>735</t>
  </si>
  <si>
    <t>2224</t>
  </si>
  <si>
    <t>746</t>
  </si>
  <si>
    <t>1579</t>
  </si>
  <si>
    <t>720</t>
  </si>
  <si>
    <t>1589</t>
  </si>
  <si>
    <t>1732</t>
  </si>
  <si>
    <t>812</t>
  </si>
  <si>
    <t>1776</t>
  </si>
  <si>
    <t>748b</t>
  </si>
  <si>
    <t>1865</t>
  </si>
  <si>
    <t>748a</t>
  </si>
  <si>
    <t>1983</t>
  </si>
  <si>
    <t>736</t>
  </si>
  <si>
    <t>2225</t>
  </si>
  <si>
    <t>740</t>
  </si>
  <si>
    <t>2233</t>
  </si>
  <si>
    <t>818a</t>
  </si>
  <si>
    <t>2318</t>
  </si>
  <si>
    <t>718b</t>
  </si>
  <si>
    <t>1327</t>
  </si>
  <si>
    <t>713</t>
  </si>
  <si>
    <t>1352</t>
  </si>
  <si>
    <t>706</t>
  </si>
  <si>
    <t>1369</t>
  </si>
  <si>
    <t>717</t>
  </si>
  <si>
    <t>1370</t>
  </si>
  <si>
    <t>730</t>
  </si>
  <si>
    <t>1371</t>
  </si>
  <si>
    <t>747</t>
  </si>
  <si>
    <t>334</t>
  </si>
  <si>
    <t>719</t>
  </si>
  <si>
    <t>2353</t>
  </si>
  <si>
    <t>748</t>
  </si>
  <si>
    <t>1846</t>
  </si>
  <si>
    <t>197b</t>
  </si>
  <si>
    <t>Scharnachtal</t>
  </si>
  <si>
    <t>710a</t>
  </si>
  <si>
    <t>1000</t>
  </si>
  <si>
    <t>1032</t>
  </si>
  <si>
    <t>171</t>
  </si>
  <si>
    <t>1033</t>
  </si>
  <si>
    <t>716</t>
  </si>
  <si>
    <t>1580</t>
  </si>
  <si>
    <t>492</t>
  </si>
  <si>
    <t>1280</t>
  </si>
  <si>
    <t>1691</t>
  </si>
  <si>
    <t>1024</t>
  </si>
  <si>
    <t>751a</t>
  </si>
  <si>
    <t>343</t>
  </si>
  <si>
    <t>741</t>
  </si>
  <si>
    <t>2234</t>
  </si>
  <si>
    <t>727</t>
  </si>
  <si>
    <t>1357</t>
  </si>
  <si>
    <t>551</t>
  </si>
  <si>
    <t>816e</t>
  </si>
  <si>
    <t>3168</t>
  </si>
  <si>
    <t>Radelfingenstrasse</t>
  </si>
  <si>
    <t>130c</t>
  </si>
  <si>
    <t>Utzigen</t>
  </si>
  <si>
    <t>Silo I</t>
  </si>
  <si>
    <t>CH613586468306</t>
  </si>
  <si>
    <t>1242</t>
  </si>
  <si>
    <t>Silo I NEU</t>
  </si>
  <si>
    <t>130d</t>
  </si>
  <si>
    <t>Silo II</t>
  </si>
  <si>
    <t>Silo II NEU</t>
  </si>
  <si>
    <t>Waldeckweg</t>
  </si>
  <si>
    <t>63b</t>
  </si>
  <si>
    <t>Tankstelle</t>
  </si>
  <si>
    <t>CH313573468826</t>
  </si>
  <si>
    <t>452</t>
  </si>
  <si>
    <t>Transformatorenstation</t>
  </si>
  <si>
    <t>CH309735314626</t>
  </si>
  <si>
    <t>2593</t>
  </si>
  <si>
    <t>2599108.000 1215163.000</t>
  </si>
  <si>
    <t>2609839.870 1201141.450</t>
  </si>
  <si>
    <t>2609837.080 1201139.910</t>
  </si>
  <si>
    <t>2593402.000 1223368.000</t>
  </si>
  <si>
    <t>2614621.051 1209499.323</t>
  </si>
  <si>
    <t>2614571.227 1209497.005</t>
  </si>
  <si>
    <t>2614570.115 1209530.024</t>
  </si>
  <si>
    <t>2587903.369 1218978.594</t>
  </si>
  <si>
    <t>2619737.250 1168935.125</t>
  </si>
  <si>
    <t>2619708.000 1168919.875</t>
  </si>
  <si>
    <t>2665435.246 1174701.875</t>
  </si>
  <si>
    <t>2665769.766 1174827.107</t>
  </si>
  <si>
    <t>2595843.901 1152477.989</t>
  </si>
  <si>
    <t>2595249.750 1157600.500</t>
  </si>
  <si>
    <t>2591272.967 1153078.542</t>
  </si>
  <si>
    <t>2596648.529 1154571.923</t>
  </si>
  <si>
    <t>2603728.871 1191239.173</t>
  </si>
  <si>
    <t>2611011.000 1180659.000</t>
  </si>
  <si>
    <t>2610473.000 1180103.375</t>
  </si>
  <si>
    <t>2610492.000 1180099.625</t>
  </si>
  <si>
    <t>2606300.000 1179200.000</t>
  </si>
  <si>
    <t>2617392.765 1227889.066</t>
  </si>
  <si>
    <t>2597704.915 1197091.240</t>
  </si>
  <si>
    <t>2595724.738 1194205.054</t>
  </si>
  <si>
    <t>2595714.878 1194189.495</t>
  </si>
  <si>
    <t>2595747.626 1194183.843</t>
  </si>
  <si>
    <t>2609841.897 1201138.970</t>
  </si>
  <si>
    <t>2602858.380 1204351.539</t>
  </si>
  <si>
    <t>2600995.811 1189007.958</t>
  </si>
  <si>
    <t>2601395.353 1188687.700</t>
  </si>
  <si>
    <t>2602180.193 1189658.794</t>
  </si>
  <si>
    <t>2600169.944 1188601.379</t>
  </si>
  <si>
    <t>2601937.741 1190144.008</t>
  </si>
  <si>
    <t>2602037.942 1189942.714</t>
  </si>
  <si>
    <t>12: Verknüpft mit EGID 191964860 in der gleiche Gemeinde&lt;/br&gt;61: 2 AV-Gebäude haben den gleichen GWR-EGID</t>
  </si>
  <si>
    <t>52: Der AV-EGID 1306957ist nicht kohärent mit dem GWR-EGID 192042962&lt;/br&gt;62: 3 GWR-Gebäude (192042962, 192043150, 192046036) innerhalb des gleichen AV-Gebäudes</t>
  </si>
  <si>
    <t>52: Der AV-EGID 1306957ist nicht kohärent mit dem GWR-EGID 192043150&lt;/br&gt;62: 3 GWR-Gebäude (192042962, 192043150, 192046036) innerhalb des gleichen AV-Gebäudes</t>
  </si>
  <si>
    <t>52: Der AV-EGID 1306957ist nicht kohärent mit dem GWR-EGID 192046036&lt;/br&gt;62: 3 GWR-Gebäude (192042962, 192043150, 192046036) innerhalb des gleichen AV-Gebäudes</t>
  </si>
  <si>
    <t>42: die Kategorie 1060  ist mit dem Topic Einzelobjekte der AV nicht kohärent &lt;/br&gt;62: 2 GWR-Gebäude (192050520, 192050522) innerhalb des gleichen AV-Gebäudes</t>
  </si>
  <si>
    <t>31: Kein AV-Umriss für das Gebäude 191961687</t>
  </si>
  <si>
    <t>31: Kein AV-Umriss für das Gebäude 191903559</t>
  </si>
  <si>
    <t>31: Kein AV-Umriss für das Gebäude 191960997</t>
  </si>
  <si>
    <t>31: Kein AV-Umriss für das Gebäude 504032326</t>
  </si>
  <si>
    <t>31: Kein AV-Umriss für das Gebäude 192050071</t>
  </si>
  <si>
    <t>31: Kein AV-Umriss für das Gebäude 191531091</t>
  </si>
  <si>
    <t>31: Kein AV-Umriss für das Gebäude 400083809</t>
  </si>
  <si>
    <t>31: Kein AV-Umriss für das Gebäude 192050139</t>
  </si>
  <si>
    <t>31: Kein AV-Umriss für das Gebäude 502199722</t>
  </si>
  <si>
    <t>31: Kein AV-Umriss für das Gebäude 502200069</t>
  </si>
  <si>
    <t>31: Kein AV-Umriss für das Gebäude 504026017</t>
  </si>
  <si>
    <t>31: Kein AV-Umriss für das Gebäude 192036305</t>
  </si>
  <si>
    <t>31: Kein AV-Umriss für das Gebäude 192050742</t>
  </si>
  <si>
    <t>31: Kein AV-Umriss für das Gebäude 192050136</t>
  </si>
  <si>
    <t>31: Kein AV-Umriss für das Gebäude 504048554</t>
  </si>
  <si>
    <t>35: überholt im GWR. AV-Umriss schon verknüpft mit dem Gebäude mit EGID 1396062</t>
  </si>
  <si>
    <t>35: überholt im GWR. AV-Umriss schon verknüpft mit dem Gebäude mit EGID 190483048</t>
  </si>
  <si>
    <t>35: überholt im GWR. AV-Umriss schon verknüpft mit dem Gebäude mit EGID 191749175</t>
  </si>
  <si>
    <t>42: die Kategorie 1060 ist mit dem Topic Einzelobjekte der AV nicht kohärent &lt;/br&gt;62: 2 GWR-Gebäude (192050520, 192050522) innerhalb des gleichen AV-Gebäudes</t>
  </si>
  <si>
    <t>Lätternweg</t>
  </si>
  <si>
    <t>13a</t>
  </si>
  <si>
    <t>2293</t>
  </si>
  <si>
    <t>42</t>
  </si>
  <si>
    <t>Dieterswil</t>
  </si>
  <si>
    <t>Rapperswil BE</t>
  </si>
  <si>
    <t>2811</t>
  </si>
  <si>
    <t>Eggweide</t>
  </si>
  <si>
    <t>Hubelweide</t>
  </si>
  <si>
    <t>alte Travongstation</t>
  </si>
  <si>
    <t>3329</t>
  </si>
  <si>
    <t>2621934.032 1231973.400</t>
  </si>
  <si>
    <t>2601468.069 1204327.105</t>
  </si>
  <si>
    <t>2584972.000 1220930.000</t>
  </si>
  <si>
    <t>2592253.875 1217081.333</t>
  </si>
  <si>
    <t>2592157.646 1224665.580</t>
  </si>
  <si>
    <t>2616925.601 1217483.224</t>
  </si>
  <si>
    <t>2565942.525 1222081.891</t>
  </si>
  <si>
    <t>2605127.000 1207569.000</t>
  </si>
  <si>
    <t>2604375.000 1208444.000</t>
  </si>
  <si>
    <t>2609811.540 1187688.384</t>
  </si>
  <si>
    <t>2609812.570 1187697.758</t>
  </si>
  <si>
    <t>2609804.430 1187673.147</t>
  </si>
  <si>
    <t>2585204.657 1194440.191</t>
  </si>
  <si>
    <t>2599955.568 1146680.325</t>
  </si>
  <si>
    <t>2599938.238 1146682.500</t>
  </si>
  <si>
    <t>2595866.708 1180473.541</t>
  </si>
  <si>
    <t>2604849.691 1187202.106</t>
  </si>
  <si>
    <t>2614362.041 1181683.174</t>
  </si>
  <si>
    <t>2614365.339 1181684.306</t>
  </si>
  <si>
    <t>2620477.936 1208083.097</t>
  </si>
  <si>
    <t>2621909.508 1206436.144</t>
  </si>
  <si>
    <t>2613267.314 1233443.222</t>
  </si>
  <si>
    <t>2618336.250 1231066.625</t>
  </si>
  <si>
    <t>2618771.500 1231100.625</t>
  </si>
  <si>
    <t>2618794.250 1231152.125</t>
  </si>
  <si>
    <t>2618538.250 1231286.875</t>
  </si>
  <si>
    <t>2618760.000 1230652.750</t>
  </si>
  <si>
    <t>2618743.000 1230688.125</t>
  </si>
  <si>
    <t>2618746.250 1230713.875</t>
  </si>
  <si>
    <t>2618799.250 1230922.875</t>
  </si>
  <si>
    <t>2619022.500 1231016.375</t>
  </si>
  <si>
    <t>2618821.500 1231053.625</t>
  </si>
  <si>
    <t>2618707.000 1230984.125</t>
  </si>
  <si>
    <t>2619129.250 1231201.875</t>
  </si>
  <si>
    <t>2619094.750 1231197.625</t>
  </si>
  <si>
    <t>2618943.250 1231267.375</t>
  </si>
  <si>
    <t>2618840.500 1231225.625</t>
  </si>
  <si>
    <t>2618746.750 1231297.125</t>
  </si>
  <si>
    <t>2618777.250 1231235.625</t>
  </si>
  <si>
    <t>2618683.750 1231141.375</t>
  </si>
  <si>
    <t>2618611.500 1231229.875</t>
  </si>
  <si>
    <t>2618588.000 1231214.375</t>
  </si>
  <si>
    <t>2618594.750 1231229.125</t>
  </si>
  <si>
    <t>2618545.000 1231177.875</t>
  </si>
  <si>
    <t>2618546.250 1231172.875</t>
  </si>
  <si>
    <t>2618498.000 1231186.375</t>
  </si>
  <si>
    <t>2618431.750 1231151.625</t>
  </si>
  <si>
    <t>2618420.250 1231218.125</t>
  </si>
  <si>
    <t>2618338.000 1231105.625</t>
  </si>
  <si>
    <t>2618177.250 1231048.125</t>
  </si>
  <si>
    <t>2618138.000 1231104.375</t>
  </si>
  <si>
    <t>2618167.750 1231077.875</t>
  </si>
  <si>
    <t>2618110.000 1231069.750</t>
  </si>
  <si>
    <t>2618118.000 1231003.125</t>
  </si>
  <si>
    <t>2618063.250 1230927.875</t>
  </si>
  <si>
    <t>2617988.750 1231036.125</t>
  </si>
  <si>
    <t>2617924.500 1230972.875</t>
  </si>
  <si>
    <t>2617920.000 1230971.375</t>
  </si>
  <si>
    <t>2617883.250 1230836.125</t>
  </si>
  <si>
    <t>2617871.750 1231079.875</t>
  </si>
  <si>
    <t>2617843.500 1231030.125</t>
  </si>
  <si>
    <t>2617801.000 1231025.125</t>
  </si>
  <si>
    <t>2617802.750 1231052.125</t>
  </si>
  <si>
    <t>2617777.250 1231048.625</t>
  </si>
  <si>
    <t>2617770.750 1231045.375</t>
  </si>
  <si>
    <t>2598940.206 1199606.895</t>
  </si>
  <si>
    <t>2595929.177 1203775.529</t>
  </si>
  <si>
    <t>2588436.769 1201994.717</t>
  </si>
  <si>
    <t>2594216.907 1217371.819</t>
  </si>
  <si>
    <t>2594843.719 1225144.446</t>
  </si>
  <si>
    <t>2584648.268 1194263.024</t>
  </si>
  <si>
    <t>2599952.255 1146665.404</t>
  </si>
  <si>
    <t>2626053.266 1199253.704</t>
  </si>
  <si>
    <t>2636071.854 1203113.505</t>
  </si>
  <si>
    <t>2614331.261 1181700.661</t>
  </si>
  <si>
    <t>2614740.113 1181270.061</t>
  </si>
  <si>
    <t>2614479.120 1176006.621</t>
  </si>
  <si>
    <t>2614466.892 1176012.476</t>
  </si>
  <si>
    <t>2608773.018 1176197.241</t>
  </si>
  <si>
    <t>2623483.553 1208554.133</t>
  </si>
  <si>
    <t>2612347.770 1232487.943</t>
  </si>
  <si>
    <t>31: Kein AV-Umriss für das Gebäude 502026271</t>
  </si>
  <si>
    <t>31: Kein AV-Umriss für das Gebäude 191991320</t>
  </si>
  <si>
    <t>31: Kein AV-Umriss für das Gebäude 502067235</t>
  </si>
  <si>
    <t>31: Kein AV-Umriss für das Gebäude 502135263</t>
  </si>
  <si>
    <t>31: Kein AV-Umriss für das Gebäude 504001946</t>
  </si>
  <si>
    <t>31: Kein AV-Umriss für das Gebäude 192051029&lt;/br&gt;33: Das Gebäude 192051029 has GSTAT '1003 im Bau'</t>
  </si>
  <si>
    <t>31: Kein AV-Umriss für das Gebäude 192051602</t>
  </si>
  <si>
    <t>31: Kein AV-Umriss für das Gebäude 502024437</t>
  </si>
  <si>
    <t>31: Kein AV-Umriss für das Gebäude 504031266</t>
  </si>
  <si>
    <t>31: Kein AV-Umriss für das Gebäude 502069009</t>
  </si>
  <si>
    <t>31: Kein AV-Umriss für das Gebäude 502069011</t>
  </si>
  <si>
    <t>31: Kein AV-Umriss für das Gebäude 192050893</t>
  </si>
  <si>
    <t>31: Kein AV-Umriss für das Gebäude 504025515</t>
  </si>
  <si>
    <t>31: Kein AV-Umriss für das Gebäude 502101975</t>
  </si>
  <si>
    <t>31: Kein AV-Umriss für das Gebäude 502101976</t>
  </si>
  <si>
    <t>31: Kein AV-Umriss für das Gebäude 191964778</t>
  </si>
  <si>
    <t>31: Kein AV-Umriss für das Gebäude 502141124</t>
  </si>
  <si>
    <t>31: Kein AV-Umriss für das Gebäude 192000643</t>
  </si>
  <si>
    <t>31: Kein AV-Umriss für das Gebäude 192051527</t>
  </si>
  <si>
    <t>31: Kein AV-Umriss für das Gebäude 192051530</t>
  </si>
  <si>
    <t>31: Kein AV-Umriss für das Gebäude 192051531</t>
  </si>
  <si>
    <t>31: Kein AV-Umriss für das Gebäude 192051532</t>
  </si>
  <si>
    <t>31: Kein AV-Umriss für das Gebäude 192051533</t>
  </si>
  <si>
    <t>31: Kein AV-Umriss für das Gebäude 192051534</t>
  </si>
  <si>
    <t>31: Kein AV-Umriss für das Gebäude 192051535</t>
  </si>
  <si>
    <t>31: Kein AV-Umriss für das Gebäude 192051536</t>
  </si>
  <si>
    <t>31: Kein AV-Umriss für das Gebäude 192051537</t>
  </si>
  <si>
    <t>31: Kein AV-Umriss für das Gebäude 192051569</t>
  </si>
  <si>
    <t>31: Kein AV-Umriss für das Gebäude 192051570</t>
  </si>
  <si>
    <t>31: Kein AV-Umriss für das Gebäude 192051573</t>
  </si>
  <si>
    <t>31: Kein AV-Umriss für das Gebäude 192051574</t>
  </si>
  <si>
    <t>31: Kein AV-Umriss für das Gebäude 192051576</t>
  </si>
  <si>
    <t>31: Kein AV-Umriss für das Gebäude 192051578</t>
  </si>
  <si>
    <t>31: Kein AV-Umriss für das Gebäude 192051580</t>
  </si>
  <si>
    <t>31: Kein AV-Umriss für das Gebäude 192051584</t>
  </si>
  <si>
    <t>31: Kein AV-Umriss für das Gebäude 192051585</t>
  </si>
  <si>
    <t>31: Kein AV-Umriss für das Gebäude 192051586</t>
  </si>
  <si>
    <t>31: Kein AV-Umriss für das Gebäude 192051587</t>
  </si>
  <si>
    <t>31: Kein AV-Umriss für das Gebäude 192051591</t>
  </si>
  <si>
    <t>31: Kein AV-Umriss für das Gebäude 192051597</t>
  </si>
  <si>
    <t>31: Kein AV-Umriss für das Gebäude 192051599</t>
  </si>
  <si>
    <t>31: Kein AV-Umriss für das Gebäude 192051608</t>
  </si>
  <si>
    <t>31: Kein AV-Umriss für das Gebäude 192051611</t>
  </si>
  <si>
    <t>31: Kein AV-Umriss für das Gebäude 192051612</t>
  </si>
  <si>
    <t>31: Kein AV-Umriss für das Gebäude 192051613</t>
  </si>
  <si>
    <t>31: Kein AV-Umriss für das Gebäude 192051615</t>
  </si>
  <si>
    <t>31: Kein AV-Umriss für das Gebäude 192051618</t>
  </si>
  <si>
    <t>31: Kein AV-Umriss für das Gebäude 192051619</t>
  </si>
  <si>
    <t>31: Kein AV-Umriss für das Gebäude 192051623</t>
  </si>
  <si>
    <t>31: Kein AV-Umriss für das Gebäude 192051625</t>
  </si>
  <si>
    <t>31: Kein AV-Umriss für das Gebäude 192051626</t>
  </si>
  <si>
    <t>31: Kein AV-Umriss für das Gebäude 192051627</t>
  </si>
  <si>
    <t>31: Kein AV-Umriss für das Gebäude 192051628</t>
  </si>
  <si>
    <t>31: Kein AV-Umriss für das Gebäude 192051629</t>
  </si>
  <si>
    <t>31: Kein AV-Umriss für das Gebäude 192051630</t>
  </si>
  <si>
    <t>31: Kein AV-Umriss für das Gebäude 192051631</t>
  </si>
  <si>
    <t>31: Kein AV-Umriss für das Gebäude 192051632</t>
  </si>
  <si>
    <t>31: Kein AV-Umriss für das Gebäude 192051633</t>
  </si>
  <si>
    <t>31: Kein AV-Umriss für das Gebäude 192051634</t>
  </si>
  <si>
    <t>31: Kein AV-Umriss für das Gebäude 192051635</t>
  </si>
  <si>
    <t>35: überholt im GWR. AV-Umriss schon verknüpft mit dem Gebäude mit EGID 191889704</t>
  </si>
  <si>
    <t>35: überholt im GWR. AV-Umriss schon verknüpft mit dem Gebäude mit EGID 502056869</t>
  </si>
  <si>
    <t>35: überholt im GWR. AV-Umriss schon verknüpft mit dem Gebäude mit EGID 191993238</t>
  </si>
  <si>
    <t>35: überholt im GWR. AV-Umriss schon verknüpft mit dem Gebäude mit EGID 191993240</t>
  </si>
  <si>
    <t>35: überholt im GWR. AV-Umriss schon verknüpft mit dem Gebäude mit EGID 192048717</t>
  </si>
  <si>
    <t>35: überholt im GWR. AV-Umriss schon verknüpft mit dem Gebäude mit EGID 502117368</t>
  </si>
  <si>
    <t>31a</t>
  </si>
  <si>
    <t>4125</t>
  </si>
  <si>
    <t>31</t>
  </si>
  <si>
    <t>Britschenmattstrasse</t>
  </si>
  <si>
    <t>29</t>
  </si>
  <si>
    <t>Werkhof Freudiger</t>
  </si>
  <si>
    <t>CH807735994695</t>
  </si>
  <si>
    <t>132</t>
  </si>
  <si>
    <t>Wohnwagen</t>
  </si>
  <si>
    <t>Sunneschynweg</t>
  </si>
  <si>
    <t>CH434696358145</t>
  </si>
  <si>
    <t>671</t>
  </si>
  <si>
    <t>2625094.434 1224448.547</t>
  </si>
  <si>
    <t>2625088.360 1224446.470</t>
  </si>
  <si>
    <t>2595765.000 1201870.000</t>
  </si>
  <si>
    <t>2599188.641 1223958.167</t>
  </si>
  <si>
    <t>2594952.250 1225295.375</t>
  </si>
  <si>
    <t>2610797.163 1214596.879</t>
  </si>
  <si>
    <t>2574809.982 1229403.758</t>
  </si>
  <si>
    <t>2604732.000 1208189.000</t>
  </si>
  <si>
    <t>2609840.929 1187873.036</t>
  </si>
  <si>
    <t>2609867.263 1187968.153</t>
  </si>
  <si>
    <t>2609842.342 1187935.549</t>
  </si>
  <si>
    <t>2609795.191 1187748.203</t>
  </si>
  <si>
    <t>2609873.575 1187911.231</t>
  </si>
  <si>
    <t>2582655.000 1201131.000</t>
  </si>
  <si>
    <t>2590346.598 1222441.587</t>
  </si>
  <si>
    <t>2590461.319 1222230.916</t>
  </si>
  <si>
    <t>2590459.216 1222227.870</t>
  </si>
  <si>
    <t>2589832.107 1219752.523</t>
  </si>
  <si>
    <t>2611284.000 1172993.000</t>
  </si>
  <si>
    <t>2593640.250 1180212.375</t>
  </si>
  <si>
    <t>2592456.250 1180480.625</t>
  </si>
  <si>
    <t>2597030.791 1181318.708</t>
  </si>
  <si>
    <t>2605500.000 1178000.000</t>
  </si>
  <si>
    <t>2626705.133 1198719.562</t>
  </si>
  <si>
    <t>2633268.000 1199652.750</t>
  </si>
  <si>
    <t>2606790.000 1176863.000</t>
  </si>
  <si>
    <t>2625276.489 1181932.364</t>
  </si>
  <si>
    <t>2616179.000 1177344.000</t>
  </si>
  <si>
    <t>2620746.000 1174689.000</t>
  </si>
  <si>
    <t>2620747.000 1174680.000</t>
  </si>
  <si>
    <t>2613692.442 1181000.213</t>
  </si>
  <si>
    <t>2613672.137 1180998.940</t>
  </si>
  <si>
    <t>2613661.639 1180984.859</t>
  </si>
  <si>
    <t>2611839.939 1176917.116</t>
  </si>
  <si>
    <t>2609862.750 1179093.625</t>
  </si>
  <si>
    <t>2623616.000 1208822.000</t>
  </si>
  <si>
    <t>2619665.500 1235137.100</t>
  </si>
  <si>
    <t>2594937.149 1225290.553</t>
  </si>
  <si>
    <t>2593907.400 1223724.767</t>
  </si>
  <si>
    <t>2574831.306 1205407.212</t>
  </si>
  <si>
    <t>2574145.317 1206018.556</t>
  </si>
  <si>
    <t>2574313.643 1206076.417</t>
  </si>
  <si>
    <t>2577506.937 1204986.614</t>
  </si>
  <si>
    <t>2586873.852 1138941.264</t>
  </si>
  <si>
    <t>2634455.470 1200236.581</t>
  </si>
  <si>
    <t>Update: 25.03.2024</t>
  </si>
  <si>
    <t>Stand: 25.03.2024</t>
  </si>
  <si>
    <t>31: Kein AV-Umriss für das Gebäude 1266405</t>
  </si>
  <si>
    <t>31: Kein AV-Umriss für das Gebäude 192017524</t>
  </si>
  <si>
    <t>31: Kein AV-Umriss für das Gebäude 502066160</t>
  </si>
  <si>
    <t>31: Kein AV-Umriss für das Gebäude 192052131</t>
  </si>
  <si>
    <t>31: Kein AV-Umriss für das Gebäude 504064747</t>
  </si>
  <si>
    <t>31: Kein AV-Umriss für das Gebäude 502093901</t>
  </si>
  <si>
    <t>31: Kein AV-Umriss für das Gebäude 192052170&lt;/br&gt;33: Das Gebäude 192052170 has GSTAT '1003 im Bau'</t>
  </si>
  <si>
    <t>31: Kein AV-Umriss für das Gebäude 502024077</t>
  </si>
  <si>
    <t>31: Kein AV-Umriss für das Gebäude 502024078</t>
  </si>
  <si>
    <t>31: Kein AV-Umriss für das Gebäude 502024424</t>
  </si>
  <si>
    <t>31: Kein AV-Umriss für das Gebäude 502024425</t>
  </si>
  <si>
    <t>31: Kein AV-Umriss für das Gebäude 192052081&lt;/br&gt;33: Das Gebäude 192052081 has GSTAT '1003 im Bau'</t>
  </si>
  <si>
    <t>31: Kein AV-Umriss für das Gebäude 502058969</t>
  </si>
  <si>
    <t>31: Kein AV-Umriss für das Gebäude 502059201</t>
  </si>
  <si>
    <t>31: Kein AV-Umriss für das Gebäude 502059202</t>
  </si>
  <si>
    <t>31: Kein AV-Umriss für das Gebäude 192052049</t>
  </si>
  <si>
    <t>31: Kein AV-Umriss für das Gebäude 192051974</t>
  </si>
  <si>
    <t>31: Kein AV-Umriss für das Gebäude 192052376</t>
  </si>
  <si>
    <t>31: Kein AV-Umriss für das Gebäude 192051953</t>
  </si>
  <si>
    <t>31: Kein AV-Umriss für das Gebäude 192052337</t>
  </si>
  <si>
    <t>31: Kein AV-Umriss für das Gebäude 192051934</t>
  </si>
  <si>
    <t>31: Kein AV-Umriss für das Gebäude 504005420</t>
  </si>
  <si>
    <t>31: Kein AV-Umriss für das Gebäude 191967981</t>
  </si>
  <si>
    <t>31: Kein AV-Umriss für das Gebäude 191967982</t>
  </si>
  <si>
    <t>31: Kein AV-Umriss für das Gebäude 502101620</t>
  </si>
  <si>
    <t>31: Kein AV-Umriss für das Gebäude 192051962</t>
  </si>
  <si>
    <t>31: Kein AV-Umriss für das Gebäude 192052347</t>
  </si>
  <si>
    <t>35: überholt im GWR. AV-Umriss schon verknüpft mit dem Gebäude mit EGID 192038812</t>
  </si>
  <si>
    <t>35: überholt im GWR. AV-Umriss schon verknüpft mit dem Gebäude mit EGID 191904293</t>
  </si>
  <si>
    <t>35: überholt im GWR. AV-Umriss schon verknüpft mit dem Gebäude mit EGID 192018847</t>
  </si>
  <si>
    <t>35: überholt im GWR. AV-Umriss schon verknüpft mit dem Gebäude mit EGID 502137367</t>
  </si>
  <si>
    <t>35: überholt im GWR. AV-Umriss schon verknüpft mit dem Gebäude mit EGID 192031033</t>
  </si>
  <si>
    <t>35: überholt im GWR. AV-Umriss schon verknüpft mit dem Gebäude mit EGID 192004837</t>
  </si>
  <si>
    <t>35: überholt im GWR. AV-Umriss schon verknüpft mit dem Gebäude mit EGID 192004276</t>
  </si>
  <si>
    <t>35: überholt im GWR. AV-Umriss schon verknüpft mit dem Gebäude mit EGID 1435566</t>
  </si>
  <si>
    <t>35: überholt im GWR. AV-Umriss schon verknüpft mit dem Gebäude mit EGID 192001557</t>
  </si>
  <si>
    <t xml:space="preserve">12: Verknüpft mit EGID 192042838 in der gleiche Gemeinde&lt;/br&gt;42: die Kategorie 1060 ist mit dem Topic Einzelobjekte der AV nicht kohärent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</si>
</sst>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21" Type="http://schemas.openxmlformats.org/officeDocument/2006/relationships/hyperlink" Target="https://map.geo.admin.ch/?zoom=13&amp;E=2589512&amp;N=1213741&amp;layers=ch.kantone.cadastralwebmap-farbe,ch.swisstopo.amtliches-strassenverzeichnis,ch.bfs.gebaeude_wohnungs_register,KML||https://tinyurl.com/yy7ya4g9/BE/0306_bdg_erw.kml" TargetMode="External"/><Relationship Id="rId170" Type="http://schemas.openxmlformats.org/officeDocument/2006/relationships/hyperlink" Target="https://map.geo.admin.ch/?zoom=13&amp;E=2588331.356&amp;N=1223131.705&amp;layers=ch.kantone.cadastralwebmap-farbe,ch.swisstopo.amtliches-strassenverzeichnis,ch.bfs.gebaeude_wohnungs_register,KML||https://tinyurl.com/yy7ya4g9/BE/0371_bdg_erw.kml" TargetMode="External"/><Relationship Id="rId268" Type="http://schemas.openxmlformats.org/officeDocument/2006/relationships/hyperlink" Target="https://map.geo.admin.ch/?zoom=13&amp;E=2610419&amp;N=1214841&amp;layers=ch.kantone.cadastralwebmap-farbe,ch.swisstopo.amtliches-strassenverzeichnis,ch.bfs.gebaeude_wohnungs_register,KML||https://tinyurl.com/yy7ya4g9/BE/0420_bdg_erw.kml" TargetMode="External"/><Relationship Id="rId475" Type="http://schemas.openxmlformats.org/officeDocument/2006/relationships/hyperlink" Target="https://map.geo.admin.ch/?zoom=13&amp;E=2642178&amp;N=1178110&amp;layers=ch.kantone.cadastralwebmap-farbe,ch.swisstopo.amtliches-strassenverzeichnis,ch.bfs.gebaeude_wohnungs_register,KML||https://tinyurl.com/yy7ya4g9/BE/0589_bdg_erw.kml" TargetMode="External"/><Relationship Id="rId682" Type="http://schemas.openxmlformats.org/officeDocument/2006/relationships/hyperlink" Target="https://map.geo.admin.ch/?zoom=13&amp;E=2592456.25&amp;N=1180480.625&amp;layers=ch.kantone.cadastralwebmap-farbe,ch.swisstopo.amtliches-strassenverzeichnis,ch.bfs.gebaeude_wohnungs_register,KML||https://tinyurl.com/yy7ya4g9/BE/0852_bdg_erw.kml" TargetMode="External"/><Relationship Id="rId128" Type="http://schemas.openxmlformats.org/officeDocument/2006/relationships/hyperlink" Target="https://map.geo.admin.ch/?zoom=13&amp;E=2609392.4&amp;N=1199518.8&amp;layers=ch.kantone.cadastralwebmap-farbe,ch.swisstopo.amtliches-strassenverzeichnis,ch.bfs.gebaeude_wohnungs_register,KML||https://tinyurl.com/yy7ya4g9/BE/0359_bdg_erw.kml" TargetMode="External"/><Relationship Id="rId335" Type="http://schemas.openxmlformats.org/officeDocument/2006/relationships/hyperlink" Target="https://map.geo.admin.ch/?zoom=13&amp;E=2615746.329&amp;N=1159203.762&amp;layers=ch.kantone.cadastralwebmap-farbe,ch.swisstopo.amtliches-strassenverzeichnis,ch.bfs.gebaeude_wohnungs_register,KML||https://tinyurl.com/yy7ya4g9/BE/0563_bdg_erw.kml" TargetMode="External"/><Relationship Id="rId542" Type="http://schemas.openxmlformats.org/officeDocument/2006/relationships/hyperlink" Target="https://map.geo.admin.ch/?zoom=13&amp;E=2609842.342&amp;N=1187935.549&amp;layers=ch.kantone.cadastralwebmap-farbe,ch.swisstopo.amtliches-strassenverzeichnis,ch.bfs.gebaeude_wohnungs_register,KML||https://tinyurl.com/yy7ya4g9/BE/0632_bdg_erw.kml" TargetMode="External"/><Relationship Id="rId987" Type="http://schemas.openxmlformats.org/officeDocument/2006/relationships/hyperlink" Target="https://map.geo.admin.ch/?zoom=13&amp;E=2631762&amp;N=1213611&amp;layers=ch.kantone.cadastralwebmap-farbe,ch.swisstopo.amtliches-strassenverzeichnis,ch.bfs.gebaeude_wohnungs_register,KML||https://tinyurl.com/yy7ya4g9/BE/0953_bdg_erw.kml" TargetMode="External"/><Relationship Id="rId402" Type="http://schemas.openxmlformats.org/officeDocument/2006/relationships/hyperlink" Target="https://map.geo.admin.ch/?zoom=13&amp;E=2625344&amp;N=1153608&amp;layers=ch.kantone.cadastralwebmap-farbe,ch.swisstopo.amtliches-strassenverzeichnis,ch.bfs.gebaeude_wohnungs_register,KML||https://tinyurl.com/yy7ya4g9/BE/0567_bdg_erw.kml" TargetMode="External"/><Relationship Id="rId847" Type="http://schemas.openxmlformats.org/officeDocument/2006/relationships/hyperlink" Target="https://map.geo.admin.ch/?zoom=13&amp;E=2604963&amp;N=1178640&amp;layers=ch.kantone.cadastralwebmap-farbe,ch.swisstopo.amtliches-strassenverzeichnis,ch.bfs.gebaeude_wohnungs_register,KML||https://tinyurl.com/yy7ya4g9/BE/0886_bdg_erw.kml" TargetMode="External"/><Relationship Id="rId1032" Type="http://schemas.openxmlformats.org/officeDocument/2006/relationships/hyperlink" Target="https://map.geo.admin.ch/?zoom=13&amp;E=2625801.642&amp;N=1218368.835&amp;layers=ch.kantone.cadastralwebmap-farbe,ch.swisstopo.amtliches-strassenverzeichnis,ch.bfs.gebaeude_wohnungs_register,KML||https://tinyurl.com/yy7ya4g9/BE/0959_bdg_erw.kml" TargetMode="External"/><Relationship Id="rId707" Type="http://schemas.openxmlformats.org/officeDocument/2006/relationships/hyperlink" Target="https://map.geo.admin.ch/?zoom=13&amp;E=2607983.783&amp;N=1187605.468&amp;layers=ch.kantone.cadastralwebmap-farbe,ch.swisstopo.amtliches-strassenverzeichnis,ch.bfs.gebaeude_wohnungs_register,KML||https://tinyurl.com/yy7ya4g9/BE/0866_bdg_erw.kml" TargetMode="External"/><Relationship Id="rId914" Type="http://schemas.openxmlformats.org/officeDocument/2006/relationships/hyperlink" Target="https://map.geo.admin.ch/?zoom=13&amp;E=2626907&amp;N=1177252&amp;layers=ch.kantone.cadastralwebmap-farbe,ch.swisstopo.amtliches-strassenverzeichnis,ch.bfs.gebaeude_wohnungs_register,KML||https://tinyurl.com/yy7ya4g9/BE/0938_bdg_erw.kml" TargetMode="External"/><Relationship Id="rId43" Type="http://schemas.openxmlformats.org/officeDocument/2006/relationships/hyperlink" Target="https://map.geo.admin.ch/?zoom=13&amp;E=2597540&amp;N=1212405&amp;layers=ch.kantone.cadastralwebmap-farbe,ch.swisstopo.amtliches-strassenverzeichnis,ch.bfs.gebaeude_wohnungs_register,KML||https://tinyurl.com/yy7ya4g9/BE/0310_bdg_erw.kml" TargetMode="External"/><Relationship Id="rId192" Type="http://schemas.openxmlformats.org/officeDocument/2006/relationships/hyperlink" Target="https://map.geo.admin.ch/?zoom=13&amp;E=2582048.932&amp;N=1220837.81&amp;layers=ch.kantone.cadastralwebmap-farbe,ch.swisstopo.amtliches-strassenverzeichnis,ch.bfs.gebaeude_wohnungs_register,KML||https://tinyurl.com/yy7ya4g9/BE/0372_bdg_erw.kml" TargetMode="External"/><Relationship Id="rId497" Type="http://schemas.openxmlformats.org/officeDocument/2006/relationships/hyperlink" Target="https://map.geo.admin.ch/?zoom=13&amp;E=2619676.5&amp;N=1188854.75&amp;layers=ch.kantone.cadastralwebmap-farbe,ch.swisstopo.amtliches-strassenverzeichnis,ch.bfs.gebaeude_wohnungs_register,KML||https://tinyurl.com/yy7ya4g9/BE/0614_bdg_erw.kml" TargetMode="External"/><Relationship Id="rId357" Type="http://schemas.openxmlformats.org/officeDocument/2006/relationships/hyperlink" Target="https://map.geo.admin.ch/?zoom=13&amp;E=2612532&amp;N=1156123&amp;layers=ch.kantone.cadastralwebmap-farbe,ch.swisstopo.amtliches-strassenverzeichnis,ch.bfs.gebaeude_wohnungs_register,KML||https://tinyurl.com/yy7ya4g9/BE/0563_bdg_erw.kml" TargetMode="External"/><Relationship Id="rId217" Type="http://schemas.openxmlformats.org/officeDocument/2006/relationships/hyperlink" Target="https://map.geo.admin.ch/?zoom=13&amp;E=2592437.027&amp;N=1224706.841&amp;layers=ch.kantone.cadastralwebmap-farbe,ch.swisstopo.amtliches-strassenverzeichnis,ch.bfs.gebaeude_wohnungs_register,KML||https://tinyurl.com/yy7ya4g9/BE/0392_bdg_erw.kml" TargetMode="External"/><Relationship Id="rId564" Type="http://schemas.openxmlformats.org/officeDocument/2006/relationships/hyperlink" Target="https://map.geo.admin.ch/?zoom=13&amp;E=2572904.43&amp;N=1218770.444&amp;layers=ch.kantone.cadastralwebmap-farbe,ch.swisstopo.amtliches-strassenverzeichnis,ch.bfs.gebaeude_wohnungs_register,KML||https://tinyurl.com/yy7ya4g9/BE/0724_bdg_erw.kml" TargetMode="External"/><Relationship Id="rId771" Type="http://schemas.openxmlformats.org/officeDocument/2006/relationships/hyperlink" Target="https://map.geo.admin.ch/?zoom=13&amp;E=2602525&amp;N=1181815&amp;layers=ch.kantone.cadastralwebmap-farbe,ch.swisstopo.amtliches-strassenverzeichnis,ch.bfs.gebaeude_wohnungs_register,KML||https://tinyurl.com/yy7ya4g9/BE/0879_bdg_erw.kml" TargetMode="External"/><Relationship Id="rId869" Type="http://schemas.openxmlformats.org/officeDocument/2006/relationships/hyperlink" Target="https://map.geo.admin.ch/?zoom=13&amp;E=2626646.34&amp;N=1198885.985&amp;layers=ch.kantone.cadastralwebmap-farbe,ch.swisstopo.amtliches-strassenverzeichnis,ch.bfs.gebaeude_wohnungs_register,KML||https://tinyurl.com/yy7ya4g9/BE/0902_bdg_erw.kml" TargetMode="External"/><Relationship Id="rId424" Type="http://schemas.openxmlformats.org/officeDocument/2006/relationships/hyperlink" Target="https://map.geo.admin.ch/?zoom=13&amp;E=2619501&amp;N=1164110&amp;layers=ch.kantone.cadastralwebmap-farbe,ch.swisstopo.amtliches-strassenverzeichnis,ch.bfs.gebaeude_wohnungs_register,KML||https://tinyurl.com/yy7ya4g9/BE/0567_bdg_erw.kml" TargetMode="External"/><Relationship Id="rId631" Type="http://schemas.openxmlformats.org/officeDocument/2006/relationships/hyperlink" Target="https://map.geo.admin.ch/?zoom=13&amp;E=2604965&amp;N=1154953&amp;layers=ch.kantone.cadastralwebmap-farbe,ch.swisstopo.amtliches-strassenverzeichnis,ch.bfs.gebaeude_wohnungs_register,KML||https://tinyurl.com/yy7ya4g9/BE/0762_bdg_erw.kml" TargetMode="External"/><Relationship Id="rId729" Type="http://schemas.openxmlformats.org/officeDocument/2006/relationships/hyperlink" Target="https://map.geo.admin.ch/?zoom=13&amp;E=2607671&amp;N=1185687&amp;layers=ch.kantone.cadastralwebmap-farbe,ch.swisstopo.amtliches-strassenverzeichnis,ch.bfs.gebaeude_wohnungs_register,KML||https://tinyurl.com/yy7ya4g9/BE/0872_bdg_erw.kml" TargetMode="External"/><Relationship Id="rId1054" Type="http://schemas.openxmlformats.org/officeDocument/2006/relationships/hyperlink" Target="https://map.geo.admin.ch/?zoom=13&amp;E=2625548.985&amp;N=1218141.62&amp;layers=ch.kantone.cadastralwebmap-farbe,ch.swisstopo.amtliches-strassenverzeichnis,ch.bfs.gebaeude_wohnungs_register,KML||https://tinyurl.com/yy7ya4g9/BE/0959_bdg_erw.kml" TargetMode="External"/><Relationship Id="rId936" Type="http://schemas.openxmlformats.org/officeDocument/2006/relationships/hyperlink" Target="https://map.geo.admin.ch/?zoom=13&amp;E=2613489.216&amp;N=1181119.15&amp;layers=ch.kantone.cadastralwebmap-farbe,ch.swisstopo.amtliches-strassenverzeichnis,ch.bfs.gebaeude_wohnungs_register,KML||https://tinyurl.com/yy7ya4g9/BE/0939_bdg_erw.kml" TargetMode="External"/><Relationship Id="rId1121" Type="http://schemas.openxmlformats.org/officeDocument/2006/relationships/hyperlink" Target="https://map.geo.admin.ch/?zoom=13&amp;E=2617924.5&amp;N=1230972.875&amp;layers=ch.kantone.cadastralwebmap-farbe,ch.swisstopo.amtliches-strassenverzeichnis,ch.bfs.gebaeude_wohnungs_register,KML||https://tinyurl.com/yy7ya4g9/BE/0991_bdg_erw.kml" TargetMode="External"/><Relationship Id="rId65" Type="http://schemas.openxmlformats.org/officeDocument/2006/relationships/hyperlink" Target="https://map.geo.admin.ch/?zoom=13&amp;E=2626468.375&amp;N=1226465.375&amp;layers=ch.kantone.cadastralwebmap-farbe,ch.swisstopo.amtliches-strassenverzeichnis,ch.bfs.gebaeude_wohnungs_register,KML||https://tinyurl.com/yy7ya4g9/BE/0331_bdg_erw.kml" TargetMode="External"/><Relationship Id="rId281" Type="http://schemas.openxmlformats.org/officeDocument/2006/relationships/hyperlink" Target="https://map.geo.admin.ch/?zoom=13&amp;E=2613394.661&amp;N=1221768.007&amp;layers=ch.kantone.cadastralwebmap-farbe,ch.swisstopo.amtliches-strassenverzeichnis,ch.bfs.gebaeude_wohnungs_register,KML||https://tinyurl.com/yy7ya4g9/BE/0423_bdg_erw.kml" TargetMode="External"/><Relationship Id="rId141" Type="http://schemas.openxmlformats.org/officeDocument/2006/relationships/hyperlink" Target="https://map.geo.admin.ch/?zoom=13&amp;E=2600744&amp;N=1205290&amp;layers=ch.kantone.cadastralwebmap-farbe,ch.swisstopo.amtliches-strassenverzeichnis,ch.bfs.gebaeude_wohnungs_register,KML||https://tinyurl.com/yy7ya4g9/BE/0361_bdg_erw.kml" TargetMode="External"/><Relationship Id="rId379" Type="http://schemas.openxmlformats.org/officeDocument/2006/relationships/hyperlink" Target="https://map.geo.admin.ch/?zoom=13&amp;E=2611390.75&amp;N=1152732.625&amp;layers=ch.kantone.cadastralwebmap-farbe,ch.swisstopo.amtliches-strassenverzeichnis,ch.bfs.gebaeude_wohnungs_register,KML||https://tinyurl.com/yy7ya4g9/BE/0563_bdg_erw.kml" TargetMode="External"/><Relationship Id="rId586" Type="http://schemas.openxmlformats.org/officeDocument/2006/relationships/hyperlink" Target="https://map.geo.admin.ch/?zoom=13&amp;E=2576954.75&amp;N=1214757.25&amp;layers=ch.kantone.cadastralwebmap-farbe,ch.swisstopo.amtliches-strassenverzeichnis,ch.bfs.gebaeude_wohnungs_register,KML||https://tinyurl.com/yy7ya4g9/BE/0740_bdg_erw.kml" TargetMode="External"/><Relationship Id="rId793" Type="http://schemas.openxmlformats.org/officeDocument/2006/relationships/hyperlink" Target="https://map.geo.admin.ch/?zoom=13&amp;E=2607485&amp;N=1181742&amp;layers=ch.kantone.cadastralwebmap-farbe,ch.swisstopo.amtliches-strassenverzeichnis,ch.bfs.gebaeude_wohnungs_register,KML||https://tinyurl.com/yy7ya4g9/BE/0883_bdg_erw.kml" TargetMode="External"/><Relationship Id="rId7" Type="http://schemas.openxmlformats.org/officeDocument/2006/relationships/hyperlink" Target="https://map.geo.admin.ch/?zoom=13&amp;E=2586721.57&amp;N=1209883.7&amp;layers=ch.kantone.cadastralwebmap-farbe,ch.swisstopo.amtliches-strassenverzeichnis,ch.bfs.gebaeude_wohnungs_register,KML||https://tinyurl.com/yy7ya4g9/BE/0302_bdg_erw.kml" TargetMode="External"/><Relationship Id="rId239" Type="http://schemas.openxmlformats.org/officeDocument/2006/relationships/hyperlink" Target="https://map.geo.admin.ch/?zoom=13&amp;E=2614307.095&amp;N=1212506.268&amp;layers=ch.kantone.cadastralwebmap-farbe,ch.swisstopo.amtliches-strassenverzeichnis,ch.bfs.gebaeude_wohnungs_register,KML||https://tinyurl.com/yy7ya4g9/BE/0404_bdg_erw.kml" TargetMode="External"/><Relationship Id="rId446" Type="http://schemas.openxmlformats.org/officeDocument/2006/relationships/hyperlink" Target="https://map.geo.admin.ch/?zoom=13&amp;E=2645131&amp;N=1178663&amp;layers=ch.kantone.cadastralwebmap-farbe,ch.swisstopo.amtliches-strassenverzeichnis,ch.bfs.gebaeude_wohnungs_register,KML||https://tinyurl.com/yy7ya4g9/BE/0573_bdg_erw.kml" TargetMode="External"/><Relationship Id="rId653" Type="http://schemas.openxmlformats.org/officeDocument/2006/relationships/hyperlink" Target="https://map.geo.admin.ch/?zoom=13&amp;E=2665435.246&amp;N=1174701.875&amp;layers=ch.kantone.cadastralwebmap-farbe,ch.swisstopo.amtliches-strassenverzeichnis,ch.bfs.gebaeude_wohnungs_register,KML||https://tinyurl.com/yy7ya4g9/BE/0784_bdg_erw.kml" TargetMode="External"/><Relationship Id="rId1076" Type="http://schemas.openxmlformats.org/officeDocument/2006/relationships/hyperlink" Target="https://map.geo.admin.ch/?zoom=13&amp;E=2618886.25&amp;N=1236099&amp;layers=ch.kantone.cadastralwebmap-farbe,ch.swisstopo.amtliches-strassenverzeichnis,ch.bfs.gebaeude_wohnungs_register,KML||https://tinyurl.com/yy7ya4g9/BE/0981_bdg_erw.kml" TargetMode="External"/><Relationship Id="rId306" Type="http://schemas.openxmlformats.org/officeDocument/2006/relationships/hyperlink" Target="https://map.geo.admin.ch/?zoom=13&amp;E=2572140&amp;N=1208043&amp;layers=ch.kantone.cadastralwebmap-farbe,ch.swisstopo.amtliches-strassenverzeichnis,ch.bfs.gebaeude_wohnungs_register,KML||https://tinyurl.com/yy7ya4g9/BE/0501_bdg_erw.kml" TargetMode="External"/><Relationship Id="rId860" Type="http://schemas.openxmlformats.org/officeDocument/2006/relationships/hyperlink" Target="https://map.geo.admin.ch/?zoom=13&amp;E=2604811.386&amp;N=1185811.046&amp;layers=ch.kantone.cadastralwebmap-farbe,ch.swisstopo.amtliches-strassenverzeichnis,ch.bfs.gebaeude_wohnungs_register,KML||https://tinyurl.com/yy7ya4g9/BE/0889_bdg_erw.kml" TargetMode="External"/><Relationship Id="rId958" Type="http://schemas.openxmlformats.org/officeDocument/2006/relationships/hyperlink" Target="https://map.geo.admin.ch/?zoom=13&amp;E=2612663.264&amp;N=1178972.153&amp;layers=ch.kantone.cadastralwebmap-farbe,ch.swisstopo.amtliches-strassenverzeichnis,ch.bfs.gebaeude_wohnungs_register,KML||https://tinyurl.com/yy7ya4g9/BE/0942_bdg_erw.kml" TargetMode="External"/><Relationship Id="rId87" Type="http://schemas.openxmlformats.org/officeDocument/2006/relationships/hyperlink" Target="https://map.geo.admin.ch/?zoom=13&amp;E=2625088.36&amp;N=1224446.47&amp;layers=ch.kantone.cadastralwebmap-farbe,ch.swisstopo.amtliches-strassenverzeichnis,ch.bfs.gebaeude_wohnungs_register,KML||https://tinyurl.com/yy7ya4g9/BE/0340_bdg_erw.kml" TargetMode="External"/><Relationship Id="rId513" Type="http://schemas.openxmlformats.org/officeDocument/2006/relationships/hyperlink" Target="https://map.geo.admin.ch/?zoom=13&amp;E=2614669.577&amp;N=1184326.35&amp;layers=ch.kantone.cadastralwebmap-farbe,ch.swisstopo.amtliches-strassenverzeichnis,ch.bfs.gebaeude_wohnungs_register,KML||https://tinyurl.com/yy7ya4g9/BE/0619_bdg_erw.kml" TargetMode="External"/><Relationship Id="rId720" Type="http://schemas.openxmlformats.org/officeDocument/2006/relationships/hyperlink" Target="https://map.geo.admin.ch/?zoom=13&amp;E=2608511.5&amp;N=1183717.75&amp;layers=ch.kantone.cadastralwebmap-farbe,ch.swisstopo.amtliches-strassenverzeichnis,ch.bfs.gebaeude_wohnungs_register,KML||https://tinyurl.com/yy7ya4g9/BE/0872_bdg_erw.kml" TargetMode="External"/><Relationship Id="rId818" Type="http://schemas.openxmlformats.org/officeDocument/2006/relationships/hyperlink" Target="https://map.geo.admin.ch/?zoom=13&amp;E=2605577&amp;N=1178336&amp;layers=ch.kantone.cadastralwebmap-farbe,ch.swisstopo.amtliches-strassenverzeichnis,ch.bfs.gebaeude_wohnungs_register,KML||https://tinyurl.com/yy7ya4g9/BE/0886_bdg_erw.kml" TargetMode="External"/><Relationship Id="rId1003" Type="http://schemas.openxmlformats.org/officeDocument/2006/relationships/hyperlink" Target="https://map.geo.admin.ch/?zoom=13&amp;E=2620574&amp;N=1208137&amp;layers=ch.kantone.cadastralwebmap-farbe,ch.swisstopo.amtliches-strassenverzeichnis,ch.bfs.gebaeude_wohnungs_register,KML||https://tinyurl.com/yy7ya4g9/BE/0955_bdg_erw.kml" TargetMode="External"/><Relationship Id="rId14" Type="http://schemas.openxmlformats.org/officeDocument/2006/relationships/hyperlink" Target="https://map.geo.admin.ch/?zoom=13&amp;E=2587018.75&amp;N=1212051.125&amp;layers=ch.kantone.cadastralwebmap-farbe,ch.swisstopo.amtliches-strassenverzeichnis,ch.bfs.gebaeude_wohnungs_register,KML||https://tinyurl.com/yy7ya4g9/BE/0305_bdg_erw.kml" TargetMode="External"/><Relationship Id="rId163" Type="http://schemas.openxmlformats.org/officeDocument/2006/relationships/hyperlink" Target="https://map.geo.admin.ch/?zoom=13&amp;E=2584964.727&amp;N=1220936.732&amp;layers=ch.kantone.cadastralwebmap-farbe,ch.swisstopo.amtliches-strassenverzeichnis,ch.bfs.gebaeude_wohnungs_register,KML||https://tinyurl.com/yy7ya4g9/BE/0371_bdg_erw.kml" TargetMode="External"/><Relationship Id="rId370" Type="http://schemas.openxmlformats.org/officeDocument/2006/relationships/hyperlink" Target="https://map.geo.admin.ch/?zoom=13&amp;E=2610630.5&amp;N=1152644.875&amp;layers=ch.kantone.cadastralwebmap-farbe,ch.swisstopo.amtliches-strassenverzeichnis,ch.bfs.gebaeude_wohnungs_register,KML||https://tinyurl.com/yy7ya4g9/BE/0563_bdg_erw.kml" TargetMode="External"/><Relationship Id="rId230" Type="http://schemas.openxmlformats.org/officeDocument/2006/relationships/hyperlink" Target="https://map.geo.admin.ch/?zoom=13&amp;E=2613238.5&amp;N=1212870.125&amp;layers=ch.kantone.cadastralwebmap-farbe,ch.swisstopo.amtliches-strassenverzeichnis,ch.bfs.gebaeude_wohnungs_register,KML||https://tinyurl.com/yy7ya4g9/BE/0404_bdg_erw.kml" TargetMode="External"/><Relationship Id="rId468" Type="http://schemas.openxmlformats.org/officeDocument/2006/relationships/hyperlink" Target="https://map.geo.admin.ch/?zoom=13&amp;E=2631348.379&amp;N=1169086.832&amp;layers=ch.kantone.cadastralwebmap-farbe,ch.swisstopo.amtliches-strassenverzeichnis,ch.bfs.gebaeude_wohnungs_register,KML||https://tinyurl.com/yy7ya4g9/BE/0587_bdg_erw.kml" TargetMode="External"/><Relationship Id="rId675" Type="http://schemas.openxmlformats.org/officeDocument/2006/relationships/hyperlink" Target="https://map.geo.admin.ch/?zoom=13&amp;E=2595774&amp;N=1143834&amp;layers=ch.kantone.cadastralwebmap-farbe,ch.swisstopo.amtliches-strassenverzeichnis,ch.bfs.gebaeude_wohnungs_register,KML||https://tinyurl.com/yy7ya4g9/BE/0843_bdg_erw.kml" TargetMode="External"/><Relationship Id="rId882" Type="http://schemas.openxmlformats.org/officeDocument/2006/relationships/hyperlink" Target="https://map.geo.admin.ch/?zoom=13&amp;E=2633268&amp;N=1199652.75&amp;layers=ch.kantone.cadastralwebmap-farbe,ch.swisstopo.amtliches-strassenverzeichnis,ch.bfs.gebaeude_wohnungs_register,KML||https://tinyurl.com/yy7ya4g9/BE/0908_bdg_erw.kml" TargetMode="External"/><Relationship Id="rId1098" Type="http://schemas.openxmlformats.org/officeDocument/2006/relationships/hyperlink" Target="https://map.geo.admin.ch/?zoom=13&amp;E=2619129.25&amp;N=1231201.875&amp;layers=ch.kantone.cadastralwebmap-farbe,ch.swisstopo.amtliches-strassenverzeichnis,ch.bfs.gebaeude_wohnungs_register,KML||https://tinyurl.com/yy7ya4g9/BE/0991_bdg_erw.kml" TargetMode="External"/><Relationship Id="rId328" Type="http://schemas.openxmlformats.org/officeDocument/2006/relationships/hyperlink" Target="https://map.geo.admin.ch/?zoom=13&amp;E=2604732&amp;N=1208189&amp;layers=ch.kantone.cadastralwebmap-farbe,ch.swisstopo.amtliches-strassenverzeichnis,ch.bfs.gebaeude_wohnungs_register,KML||https://tinyurl.com/yy7ya4g9/BE/0551_bdg_erw.kml" TargetMode="External"/><Relationship Id="rId535" Type="http://schemas.openxmlformats.org/officeDocument/2006/relationships/hyperlink" Target="https://map.geo.admin.ch/?zoom=13&amp;E=2610468&amp;N=1189110&amp;layers=ch.kantone.cadastralwebmap-farbe,ch.swisstopo.amtliches-strassenverzeichnis,ch.bfs.gebaeude_wohnungs_register,KML||https://tinyurl.com/yy7ya4g9/BE/0632_bdg_erw.kml" TargetMode="External"/><Relationship Id="rId742" Type="http://schemas.openxmlformats.org/officeDocument/2006/relationships/hyperlink" Target="https://map.geo.admin.ch/?zoom=13&amp;E=2603231.5&amp;N=1189682.125&amp;layers=ch.kantone.cadastralwebmap-farbe,ch.swisstopo.amtliches-strassenverzeichnis,ch.bfs.gebaeude_wohnungs_register,KML||https://tinyurl.com/yy7ya4g9/BE/0877_bdg_erw.kml" TargetMode="External"/><Relationship Id="rId602" Type="http://schemas.openxmlformats.org/officeDocument/2006/relationships/hyperlink" Target="https://map.geo.admin.ch/?zoom=13&amp;E=2589832.107&amp;N=1219752.523&amp;layers=ch.kantone.cadastralwebmap-farbe,ch.swisstopo.amtliches-strassenverzeichnis,ch.bfs.gebaeude_wohnungs_register,KML||https://tinyurl.com/yy7ya4g9/BE/0748_bdg_erw.kml" TargetMode="External"/><Relationship Id="rId1025" Type="http://schemas.openxmlformats.org/officeDocument/2006/relationships/hyperlink" Target="https://map.geo.admin.ch/?zoom=13&amp;E=2623367.439&amp;N=1209477.016&amp;layers=ch.kantone.cadastralwebmap-farbe,ch.swisstopo.amtliches-strassenverzeichnis,ch.bfs.gebaeude_wohnungs_register,KML||https://tinyurl.com/yy7ya4g9/BE/0957_bdg_erw.kml" TargetMode="External"/><Relationship Id="rId907" Type="http://schemas.openxmlformats.org/officeDocument/2006/relationships/hyperlink" Target="https://map.geo.admin.ch/?zoom=13&amp;E=2616849&amp;N=1176367&amp;layers=ch.kantone.cadastralwebmap-farbe,ch.swisstopo.amtliches-strassenverzeichnis,ch.bfs.gebaeude_wohnungs_register,KML||https://tinyurl.com/yy7ya4g9/BE/0929_bdg_erw.kml" TargetMode="External"/><Relationship Id="rId36" Type="http://schemas.openxmlformats.org/officeDocument/2006/relationships/hyperlink" Target="https://map.geo.admin.ch/?zoom=13&amp;E=2587463.219&amp;N=1207759.832&amp;layers=ch.kantone.cadastralwebmap-farbe,ch.swisstopo.amtliches-strassenverzeichnis,ch.bfs.gebaeude_wohnungs_register,KML||https://tinyurl.com/yy7ya4g9/BE/0309_bdg_erw.kml" TargetMode="External"/><Relationship Id="rId339" Type="http://schemas.openxmlformats.org/officeDocument/2006/relationships/hyperlink" Target="https://map.geo.admin.ch/?zoom=13&amp;E=2616402&amp;N=1158594&amp;layers=ch.kantone.cadastralwebmap-farbe,ch.swisstopo.amtliches-strassenverzeichnis,ch.bfs.gebaeude_wohnungs_register,KML||https://tinyurl.com/yy7ya4g9/BE/0563_bdg_erw.kml" TargetMode="External"/><Relationship Id="rId546" Type="http://schemas.openxmlformats.org/officeDocument/2006/relationships/hyperlink" Target="https://map.geo.admin.ch/?zoom=13&amp;E=2609804.43&amp;N=1187673.147&amp;layers=ch.kantone.cadastralwebmap-farbe,ch.swisstopo.amtliches-strassenverzeichnis,ch.bfs.gebaeude_wohnungs_register,KML||https://tinyurl.com/yy7ya4g9/BE/0632_bdg_erw.kml" TargetMode="External"/><Relationship Id="rId753" Type="http://schemas.openxmlformats.org/officeDocument/2006/relationships/hyperlink" Target="https://map.geo.admin.ch/?zoom=13&amp;E=2602153.5&amp;N=1189829.375&amp;layers=ch.kantone.cadastralwebmap-farbe,ch.swisstopo.amtliches-strassenverzeichnis,ch.bfs.gebaeude_wohnungs_register,KML||https://tinyurl.com/yy7ya4g9/BE/0877_bdg_erw.kml" TargetMode="External"/><Relationship Id="rId101" Type="http://schemas.openxmlformats.org/officeDocument/2006/relationships/hyperlink" Target="https://map.geo.admin.ch/?zoom=13&amp;E=2600310.5&amp;N=1199685.2&amp;layers=ch.kantone.cadastralwebmap-farbe,ch.swisstopo.amtliches-strassenverzeichnis,ch.bfs.gebaeude_wohnungs_register,KML||https://tinyurl.com/yy7ya4g9/BE/0351_bdg_erw.kml" TargetMode="External"/><Relationship Id="rId185" Type="http://schemas.openxmlformats.org/officeDocument/2006/relationships/hyperlink" Target="https://map.geo.admin.ch/?zoom=13&amp;E=2585720.612&amp;N=1221500.004&amp;layers=ch.kantone.cadastralwebmap-farbe,ch.swisstopo.amtliches-strassenverzeichnis,ch.bfs.gebaeude_wohnungs_register,KML||https://tinyurl.com/yy7ya4g9/BE/0371_bdg_erw.kml" TargetMode="External"/><Relationship Id="rId406" Type="http://schemas.openxmlformats.org/officeDocument/2006/relationships/hyperlink" Target="https://map.geo.admin.ch/?zoom=13&amp;E=2621920&amp;N=1164376&amp;layers=ch.kantone.cadastralwebmap-farbe,ch.swisstopo.amtliches-strassenverzeichnis,ch.bfs.gebaeude_wohnungs_register,KML||https://tinyurl.com/yy7ya4g9/BE/0567_bdg_erw.kml" TargetMode="External"/><Relationship Id="rId960" Type="http://schemas.openxmlformats.org/officeDocument/2006/relationships/hyperlink" Target="https://map.geo.admin.ch/?zoom=13&amp;E=2612803&amp;N=1174835&amp;layers=ch.kantone.cadastralwebmap-farbe,ch.swisstopo.amtliches-strassenverzeichnis,ch.bfs.gebaeude_wohnungs_register,KML||https://tinyurl.com/yy7ya4g9/BE/0942_bdg_erw.kml" TargetMode="External"/><Relationship Id="rId1036" Type="http://schemas.openxmlformats.org/officeDocument/2006/relationships/hyperlink" Target="https://map.geo.admin.ch/?zoom=13&amp;E=2625876.878&amp;N=1217340.534&amp;layers=ch.kantone.cadastralwebmap-farbe,ch.swisstopo.amtliches-strassenverzeichnis,ch.bfs.gebaeude_wohnungs_register,KML||https://tinyurl.com/yy7ya4g9/BE/0959_bdg_erw.kml" TargetMode="External"/><Relationship Id="rId392" Type="http://schemas.openxmlformats.org/officeDocument/2006/relationships/hyperlink" Target="https://map.geo.admin.ch/?zoom=13&amp;E=2622984&amp;N=1156517&amp;layers=ch.kantone.cadastralwebmap-farbe,ch.swisstopo.amtliches-strassenverzeichnis,ch.bfs.gebaeude_wohnungs_register,KML||https://tinyurl.com/yy7ya4g9/BE/0567_bdg_erw.kml" TargetMode="External"/><Relationship Id="rId613" Type="http://schemas.openxmlformats.org/officeDocument/2006/relationships/hyperlink" Target="https://map.geo.admin.ch/?zoom=13&amp;E=2583606&amp;N=1212488&amp;layers=ch.kantone.cadastralwebmap-farbe,ch.swisstopo.amtliches-strassenverzeichnis,ch.bfs.gebaeude_wohnungs_register,KML||https://tinyurl.com/yy7ya4g9/BE/0754_bdg_erw.kml" TargetMode="External"/><Relationship Id="rId697" Type="http://schemas.openxmlformats.org/officeDocument/2006/relationships/hyperlink" Target="https://map.geo.admin.ch/?zoom=13&amp;E=2593488.795&amp;N=1187448.617&amp;layers=ch.kantone.cadastralwebmap-farbe,ch.swisstopo.amtliches-strassenverzeichnis,ch.bfs.gebaeude_wohnungs_register,KML||https://tinyurl.com/yy7ya4g9/BE/0855_bdg_erw.kml" TargetMode="External"/><Relationship Id="rId820" Type="http://schemas.openxmlformats.org/officeDocument/2006/relationships/hyperlink" Target="https://map.geo.admin.ch/?zoom=13&amp;E=2605497&amp;N=1178242&amp;layers=ch.kantone.cadastralwebmap-farbe,ch.swisstopo.amtliches-strassenverzeichnis,ch.bfs.gebaeude_wohnungs_register,KML||https://tinyurl.com/yy7ya4g9/BE/0886_bdg_erw.kml" TargetMode="External"/><Relationship Id="rId918" Type="http://schemas.openxmlformats.org/officeDocument/2006/relationships/hyperlink" Target="https://map.geo.admin.ch/?zoom=13&amp;E=2620972&amp;N=1173496&amp;layers=ch.kantone.cadastralwebmap-farbe,ch.swisstopo.amtliches-strassenverzeichnis,ch.bfs.gebaeude_wohnungs_register,KML||https://tinyurl.com/yy7ya4g9/BE/0938_bdg_erw.kml" TargetMode="External"/><Relationship Id="rId252" Type="http://schemas.openxmlformats.org/officeDocument/2006/relationships/hyperlink" Target="https://map.geo.admin.ch/?zoom=13&amp;E=2615603&amp;N=1221656&amp;layers=ch.kantone.cadastralwebmap-farbe,ch.swisstopo.amtliches-strassenverzeichnis,ch.bfs.gebaeude_wohnungs_register,KML||https://tinyurl.com/yy7ya4g9/BE/0408_bdg_erw.kml" TargetMode="External"/><Relationship Id="rId1103" Type="http://schemas.openxmlformats.org/officeDocument/2006/relationships/hyperlink" Target="https://map.geo.admin.ch/?zoom=13&amp;E=2618777.25&amp;N=1231235.625&amp;layers=ch.kantone.cadastralwebmap-farbe,ch.swisstopo.amtliches-strassenverzeichnis,ch.bfs.gebaeude_wohnungs_register,KML||https://tinyurl.com/yy7ya4g9/BE/0991_bdg_erw.kml" TargetMode="External"/><Relationship Id="rId47" Type="http://schemas.openxmlformats.org/officeDocument/2006/relationships/hyperlink" Target="https://map.geo.admin.ch/?zoom=13&amp;E=2630459.676&amp;N=1221084.775&amp;layers=ch.kantone.cadastralwebmap-farbe,ch.swisstopo.amtliches-strassenverzeichnis,ch.bfs.gebaeude_wohnungs_register,KML||https://tinyurl.com/yy7ya4g9/BE/0322_bdg_erw.kml" TargetMode="External"/><Relationship Id="rId112" Type="http://schemas.openxmlformats.org/officeDocument/2006/relationships/hyperlink" Target="https://map.geo.admin.ch/?zoom=13&amp;E=2603040.159&amp;N=1199167.919&amp;layers=ch.kantone.cadastralwebmap-farbe,ch.swisstopo.amtliches-strassenverzeichnis,ch.bfs.gebaeude_wohnungs_register,KML||https://tinyurl.com/yy7ya4g9/BE/0351_bdg_erw.kml" TargetMode="External"/><Relationship Id="rId557" Type="http://schemas.openxmlformats.org/officeDocument/2006/relationships/hyperlink" Target="https://map.geo.admin.ch/?zoom=13&amp;E=2598169.699&amp;N=1238279.387&amp;layers=ch.kantone.cadastralwebmap-farbe,ch.swisstopo.amtliches-strassenverzeichnis,ch.bfs.gebaeude_wohnungs_register,KML||https://tinyurl.com/yy7ya4g9/BE/0681_bdg_erw.kml" TargetMode="External"/><Relationship Id="rId764" Type="http://schemas.openxmlformats.org/officeDocument/2006/relationships/hyperlink" Target="https://map.geo.admin.ch/?zoom=13&amp;E=2600855&amp;N=1190670.25&amp;layers=ch.kantone.cadastralwebmap-farbe,ch.swisstopo.amtliches-strassenverzeichnis,ch.bfs.gebaeude_wohnungs_register,KML||https://tinyurl.com/yy7ya4g9/BE/0877_bdg_erw.kml" TargetMode="External"/><Relationship Id="rId971" Type="http://schemas.openxmlformats.org/officeDocument/2006/relationships/hyperlink" Target="https://map.geo.admin.ch/?zoom=13&amp;E=2610864&amp;N=1180370&amp;layers=ch.kantone.cadastralwebmap-farbe,ch.swisstopo.amtliches-strassenverzeichnis,ch.bfs.gebaeude_wohnungs_register,KML||https://tinyurl.com/yy7ya4g9/BE/0944_bdg_erw.kml" TargetMode="External"/><Relationship Id="rId196" Type="http://schemas.openxmlformats.org/officeDocument/2006/relationships/hyperlink" Target="https://map.geo.admin.ch/?zoom=13&amp;E=2592253.875&amp;N=1217081.333&amp;layers=ch.kantone.cadastralwebmap-farbe,ch.swisstopo.amtliches-strassenverzeichnis,ch.bfs.gebaeude_wohnungs_register,KML||https://tinyurl.com/yy7ya4g9/BE/0382_bdg_erw.kml" TargetMode="External"/><Relationship Id="rId417" Type="http://schemas.openxmlformats.org/officeDocument/2006/relationships/hyperlink" Target="https://map.geo.admin.ch/?zoom=13&amp;E=2620733&amp;N=1159656&amp;layers=ch.kantone.cadastralwebmap-farbe,ch.swisstopo.amtliches-strassenverzeichnis,ch.bfs.gebaeude_wohnungs_register,KML||https://tinyurl.com/yy7ya4g9/BE/0567_bdg_erw.kml" TargetMode="External"/><Relationship Id="rId624" Type="http://schemas.openxmlformats.org/officeDocument/2006/relationships/hyperlink" Target="https://map.geo.admin.ch/?zoom=13&amp;E=2610386&amp;N=1167423&amp;layers=ch.kantone.cadastralwebmap-farbe,ch.swisstopo.amtliches-strassenverzeichnis,ch.bfs.gebaeude_wohnungs_register,KML||https://tinyurl.com/yy7ya4g9/BE/0762_bdg_erw.kml" TargetMode="External"/><Relationship Id="rId831" Type="http://schemas.openxmlformats.org/officeDocument/2006/relationships/hyperlink" Target="https://map.geo.admin.ch/?zoom=13&amp;E=2604949&amp;N=1179412&amp;layers=ch.kantone.cadastralwebmap-farbe,ch.swisstopo.amtliches-strassenverzeichnis,ch.bfs.gebaeude_wohnungs_register,KML||https://tinyurl.com/yy7ya4g9/BE/0886_bdg_erw.kml" TargetMode="External"/><Relationship Id="rId1047" Type="http://schemas.openxmlformats.org/officeDocument/2006/relationships/hyperlink" Target="https://map.geo.admin.ch/?zoom=13&amp;E=2625970.81&amp;N=1218244.605&amp;layers=ch.kantone.cadastralwebmap-farbe,ch.swisstopo.amtliches-strassenverzeichnis,ch.bfs.gebaeude_wohnungs_register,KML||https://tinyurl.com/yy7ya4g9/BE/0959_bdg_erw.kml" TargetMode="External"/><Relationship Id="rId263" Type="http://schemas.openxmlformats.org/officeDocument/2006/relationships/hyperlink" Target="https://map.geo.admin.ch/?zoom=13&amp;E=2612945.889&amp;N=1208883.437&amp;layers=ch.kantone.cadastralwebmap-farbe,ch.swisstopo.amtliches-strassenverzeichnis,ch.bfs.gebaeude_wohnungs_register,KML||https://tinyurl.com/yy7ya4g9/BE/0418_bdg_erw.kml" TargetMode="External"/><Relationship Id="rId470" Type="http://schemas.openxmlformats.org/officeDocument/2006/relationships/hyperlink" Target="https://map.geo.admin.ch/?zoom=13&amp;E=2634006&amp;N=1169182&amp;layers=ch.kantone.cadastralwebmap-farbe,ch.swisstopo.amtliches-strassenverzeichnis,ch.bfs.gebaeude_wohnungs_register,KML||https://tinyurl.com/yy7ya4g9/BE/0587_bdg_erw.kml" TargetMode="External"/><Relationship Id="rId929" Type="http://schemas.openxmlformats.org/officeDocument/2006/relationships/hyperlink" Target="https://map.geo.admin.ch/?zoom=13&amp;E=2613649.143&amp;N=1180452.407&amp;layers=ch.kantone.cadastralwebmap-farbe,ch.swisstopo.amtliches-strassenverzeichnis,ch.bfs.gebaeude_wohnungs_register,KML||https://tinyurl.com/yy7ya4g9/BE/0939_bdg_erw.kml" TargetMode="External"/><Relationship Id="rId1114" Type="http://schemas.openxmlformats.org/officeDocument/2006/relationships/hyperlink" Target="https://map.geo.admin.ch/?zoom=13&amp;E=2618177.25&amp;N=1231048.125&amp;layers=ch.kantone.cadastralwebmap-farbe,ch.swisstopo.amtliches-strassenverzeichnis,ch.bfs.gebaeude_wohnungs_register,KML||https://tinyurl.com/yy7ya4g9/BE/0991_bdg_erw.kml" TargetMode="External"/><Relationship Id="rId58" Type="http://schemas.openxmlformats.org/officeDocument/2006/relationships/hyperlink" Target="https://map.geo.admin.ch/?zoom=13&amp;E=2625768.75&amp;N=1230623.875&amp;layers=ch.kantone.cadastralwebmap-farbe,ch.swisstopo.amtliches-strassenverzeichnis,ch.bfs.gebaeude_wohnungs_register,KML||https://tinyurl.com/yy7ya4g9/BE/0329_bdg_erw.kml" TargetMode="External"/><Relationship Id="rId123" Type="http://schemas.openxmlformats.org/officeDocument/2006/relationships/hyperlink" Target="https://map.geo.admin.ch/?zoom=13&amp;E=2605382.096&amp;N=1198252.5&amp;layers=ch.kantone.cadastralwebmap-farbe,ch.swisstopo.amtliches-strassenverzeichnis,ch.bfs.gebaeude_wohnungs_register,KML||https://tinyurl.com/yy7ya4g9/BE/0356_bdg_erw.kml" TargetMode="External"/><Relationship Id="rId330" Type="http://schemas.openxmlformats.org/officeDocument/2006/relationships/hyperlink" Target="https://map.geo.admin.ch/?zoom=13&amp;E=2609046.326&amp;N=1222601.921&amp;layers=ch.kantone.cadastralwebmap-farbe,ch.swisstopo.amtliches-strassenverzeichnis,ch.bfs.gebaeude_wohnungs_register,KML||https://tinyurl.com/yy7ya4g9/BE/0554_bdg_erw.kml" TargetMode="External"/><Relationship Id="rId568" Type="http://schemas.openxmlformats.org/officeDocument/2006/relationships/hyperlink" Target="https://map.geo.admin.ch/?zoom=13&amp;E=2580505.7&amp;N=1219402.4&amp;layers=ch.kantone.cadastralwebmap-farbe,ch.swisstopo.amtliches-strassenverzeichnis,ch.bfs.gebaeude_wohnungs_register,KML||https://tinyurl.com/yy7ya4g9/BE/0726_bdg_erw.kml" TargetMode="External"/><Relationship Id="rId775" Type="http://schemas.openxmlformats.org/officeDocument/2006/relationships/hyperlink" Target="https://map.geo.admin.ch/?zoom=13&amp;E=2603716&amp;N=1184716&amp;layers=ch.kantone.cadastralwebmap-farbe,ch.swisstopo.amtliches-strassenverzeichnis,ch.bfs.gebaeude_wohnungs_register,KML||https://tinyurl.com/yy7ya4g9/BE/0879_bdg_erw.kml" TargetMode="External"/><Relationship Id="rId982" Type="http://schemas.openxmlformats.org/officeDocument/2006/relationships/hyperlink" Target="https://map.geo.admin.ch/?zoom=13&amp;E=2606726&amp;N=1178687&amp;layers=ch.kantone.cadastralwebmap-farbe,ch.swisstopo.amtliches-strassenverzeichnis,ch.bfs.gebaeude_wohnungs_register,KML||https://tinyurl.com/yy7ya4g9/BE/0948_bdg_erw.kml" TargetMode="External"/><Relationship Id="rId428" Type="http://schemas.openxmlformats.org/officeDocument/2006/relationships/hyperlink" Target="https://map.geo.admin.ch/?zoom=13&amp;E=2624685&amp;N=1155193&amp;layers=ch.kantone.cadastralwebmap-farbe,ch.swisstopo.amtliches-strassenverzeichnis,ch.bfs.gebaeude_wohnungs_register,KML||https://tinyurl.com/yy7ya4g9/BE/0567_bdg_erw.kml" TargetMode="External"/><Relationship Id="rId635" Type="http://schemas.openxmlformats.org/officeDocument/2006/relationships/hyperlink" Target="https://map.geo.admin.ch/?zoom=13&amp;E=2604585&amp;N=1160098&amp;layers=ch.kantone.cadastralwebmap-farbe,ch.swisstopo.amtliches-strassenverzeichnis,ch.bfs.gebaeude_wohnungs_register,KML||https://tinyurl.com/yy7ya4g9/BE/0762_bdg_erw.kml" TargetMode="External"/><Relationship Id="rId842" Type="http://schemas.openxmlformats.org/officeDocument/2006/relationships/hyperlink" Target="https://map.geo.admin.ch/?zoom=13&amp;E=2604262&amp;N=1180358&amp;layers=ch.kantone.cadastralwebmap-farbe,ch.swisstopo.amtliches-strassenverzeichnis,ch.bfs.gebaeude_wohnungs_register,KML||https://tinyurl.com/yy7ya4g9/BE/0886_bdg_erw.kml" TargetMode="External"/><Relationship Id="rId1058" Type="http://schemas.openxmlformats.org/officeDocument/2006/relationships/hyperlink" Target="https://map.geo.admin.ch/?zoom=13&amp;E=2625865.46&amp;N=1218102.896&amp;layers=ch.kantone.cadastralwebmap-farbe,ch.swisstopo.amtliches-strassenverzeichnis,ch.bfs.gebaeude_wohnungs_register,KML||https://tinyurl.com/yy7ya4g9/BE/0959_bdg_erw.kml" TargetMode="External"/><Relationship Id="rId274" Type="http://schemas.openxmlformats.org/officeDocument/2006/relationships/hyperlink" Target="https://map.geo.admin.ch/?zoom=13&amp;E=2610434.5&amp;N=1214854.25&amp;layers=ch.kantone.cadastralwebmap-farbe,ch.swisstopo.amtliches-strassenverzeichnis,ch.bfs.gebaeude_wohnungs_register,KML||https://tinyurl.com/yy7ya4g9/BE/0420_bdg_erw.kml" TargetMode="External"/><Relationship Id="rId481" Type="http://schemas.openxmlformats.org/officeDocument/2006/relationships/hyperlink" Target="https://map.geo.admin.ch/?zoom=13&amp;E=2631503&amp;N=1170827&amp;layers=ch.kantone.cadastralwebmap-farbe,ch.swisstopo.amtliches-strassenverzeichnis,ch.bfs.gebaeude_wohnungs_register,KML||https://tinyurl.com/yy7ya4g9/BE/0593_bdg_erw.kml" TargetMode="External"/><Relationship Id="rId702" Type="http://schemas.openxmlformats.org/officeDocument/2006/relationships/hyperlink" Target="https://map.geo.admin.ch/?zoom=13&amp;E=2604455.5&amp;N=1182996.125&amp;layers=ch.kantone.cadastralwebmap-farbe,ch.swisstopo.amtliches-strassenverzeichnis,ch.bfs.gebaeude_wohnungs_register,KML||https://tinyurl.com/yy7ya4g9/BE/0863_bdg_erw.kml" TargetMode="External"/><Relationship Id="rId1125" Type="http://schemas.openxmlformats.org/officeDocument/2006/relationships/hyperlink" Target="https://map.geo.admin.ch/?zoom=13&amp;E=2617843.5&amp;N=1231030.125&amp;layers=ch.kantone.cadastralwebmap-farbe,ch.swisstopo.amtliches-strassenverzeichnis,ch.bfs.gebaeude_wohnungs_register,KML||https://tinyurl.com/yy7ya4g9/BE/0991_bdg_erw.kml" TargetMode="External"/><Relationship Id="rId69" Type="http://schemas.openxmlformats.org/officeDocument/2006/relationships/hyperlink" Target="https://map.geo.admin.ch/?zoom=13&amp;E=2629222.75&amp;N=1221776.5&amp;layers=ch.kantone.cadastralwebmap-farbe,ch.swisstopo.amtliches-strassenverzeichnis,ch.bfs.gebaeude_wohnungs_register,KML||https://tinyurl.com/yy7ya4g9/BE/0332_bdg_erw.kml" TargetMode="External"/><Relationship Id="rId134" Type="http://schemas.openxmlformats.org/officeDocument/2006/relationships/hyperlink" Target="https://map.geo.admin.ch/?zoom=13&amp;E=2593775&amp;N=1202184&amp;layers=ch.kantone.cadastralwebmap-farbe,ch.swisstopo.amtliches-strassenverzeichnis,ch.bfs.gebaeude_wohnungs_register,KML||https://tinyurl.com/yy7ya4g9/BE/0360_bdg_erw.kml" TargetMode="External"/><Relationship Id="rId579" Type="http://schemas.openxmlformats.org/officeDocument/2006/relationships/hyperlink" Target="https://map.geo.admin.ch/?zoom=13&amp;E=2586233&amp;N=1218995&amp;layers=ch.kantone.cadastralwebmap-farbe,ch.swisstopo.amtliches-strassenverzeichnis,ch.bfs.gebaeude_wohnungs_register,KML||https://tinyurl.com/yy7ya4g9/BE/0733_bdg_erw.kml" TargetMode="External"/><Relationship Id="rId786" Type="http://schemas.openxmlformats.org/officeDocument/2006/relationships/hyperlink" Target="https://map.geo.admin.ch/?zoom=13&amp;E=2597109.025&amp;N=1187444.023&amp;layers=ch.kantone.cadastralwebmap-farbe,ch.swisstopo.amtliches-strassenverzeichnis,ch.bfs.gebaeude_wohnungs_register,KML||https://tinyurl.com/yy7ya4g9/BE/0880_bdg_erw.kml" TargetMode="External"/><Relationship Id="rId993" Type="http://schemas.openxmlformats.org/officeDocument/2006/relationships/hyperlink" Target="https://map.geo.admin.ch/?zoom=13&amp;E=2631802&amp;N=1218568&amp;layers=ch.kantone.cadastralwebmap-farbe,ch.swisstopo.amtliches-strassenverzeichnis,ch.bfs.gebaeude_wohnungs_register,KML||https://tinyurl.com/yy7ya4g9/BE/0954_bdg_erw.kml" TargetMode="External"/><Relationship Id="rId341" Type="http://schemas.openxmlformats.org/officeDocument/2006/relationships/hyperlink" Target="https://map.geo.admin.ch/?zoom=13&amp;E=2615924.866&amp;N=1159547.804&amp;layers=ch.kantone.cadastralwebmap-farbe,ch.swisstopo.amtliches-strassenverzeichnis,ch.bfs.gebaeude_wohnungs_register,KML||https://tinyurl.com/yy7ya4g9/BE/0563_bdg_erw.kml" TargetMode="External"/><Relationship Id="rId439" Type="http://schemas.openxmlformats.org/officeDocument/2006/relationships/hyperlink" Target="https://map.geo.admin.ch/?zoom=13&amp;E=2618676.151&amp;N=1163434.758&amp;layers=ch.kantone.cadastralwebmap-farbe,ch.swisstopo.amtliches-strassenverzeichnis,ch.bfs.gebaeude_wohnungs_register,KML||https://tinyurl.com/yy7ya4g9/BE/0567_bdg_erw.kml" TargetMode="External"/><Relationship Id="rId646" Type="http://schemas.openxmlformats.org/officeDocument/2006/relationships/hyperlink" Target="https://map.geo.admin.ch/?zoom=13&amp;E=2615675&amp;N=1173726&amp;layers=ch.kantone.cadastralwebmap-farbe,ch.swisstopo.amtliches-strassenverzeichnis,ch.bfs.gebaeude_wohnungs_register,KML||https://tinyurl.com/yy7ya4g9/BE/0768_bdg_erw.kml" TargetMode="External"/><Relationship Id="rId1069" Type="http://schemas.openxmlformats.org/officeDocument/2006/relationships/hyperlink" Target="https://map.geo.admin.ch/?zoom=13&amp;E=2612449.5&amp;N=1233764.333&amp;layers=ch.kantone.cadastralwebmap-farbe,ch.swisstopo.amtliches-strassenverzeichnis,ch.bfs.gebaeude_wohnungs_register,KML||https://tinyurl.com/yy7ya4g9/BE/0971_bdg_erw.kml" TargetMode="External"/><Relationship Id="rId201" Type="http://schemas.openxmlformats.org/officeDocument/2006/relationships/hyperlink" Target="https://map.geo.admin.ch/?zoom=13&amp;E=2595398.61&amp;N=1225909.733&amp;layers=ch.kantone.cadastralwebmap-farbe,ch.swisstopo.amtliches-strassenverzeichnis,ch.bfs.gebaeude_wohnungs_register,KML||https://tinyurl.com/yy7ya4g9/BE/0387_bdg_erw.kml" TargetMode="External"/><Relationship Id="rId285" Type="http://schemas.openxmlformats.org/officeDocument/2006/relationships/hyperlink" Target="https://map.geo.admin.ch/?zoom=13&amp;E=2579191.5&amp;N=1222553.125&amp;layers=ch.kantone.cadastralwebmap-farbe,ch.swisstopo.amtliches-strassenverzeichnis,ch.bfs.gebaeude_wohnungs_register,KML||https://tinyurl.com/yy7ya4g9/BE/0438_bdg_erw.kml" TargetMode="External"/><Relationship Id="rId506" Type="http://schemas.openxmlformats.org/officeDocument/2006/relationships/hyperlink" Target="https://map.geo.admin.ch/?zoom=13&amp;E=2608998.25&amp;N=1191433.625&amp;layers=ch.kantone.cadastralwebmap-farbe,ch.swisstopo.amtliches-strassenverzeichnis,ch.bfs.gebaeude_wohnungs_register,KML||https://tinyurl.com/yy7ya4g9/BE/0616_bdg_erw.kml" TargetMode="External"/><Relationship Id="rId853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1136" Type="http://schemas.openxmlformats.org/officeDocument/2006/relationships/printerSettings" Target="../printerSettings/printerSettings7.bin"/><Relationship Id="rId492" Type="http://schemas.openxmlformats.org/officeDocument/2006/relationships/hyperlink" Target="https://map.geo.admin.ch/?zoom=13&amp;E=2613893.75&amp;N=1185539.25&amp;layers=ch.kantone.cadastralwebmap-farbe,ch.swisstopo.amtliches-strassenverzeichnis,ch.bfs.gebaeude_wohnungs_register,KML||https://tinyurl.com/yy7ya4g9/BE/0606_bdg_erw.kml" TargetMode="External"/><Relationship Id="rId713" Type="http://schemas.openxmlformats.org/officeDocument/2006/relationships/hyperlink" Target="https://map.geo.admin.ch/?zoom=13&amp;E=2603702&amp;N=1188018&amp;layers=ch.kantone.cadastralwebmap-farbe,ch.swisstopo.amtliches-strassenverzeichnis,ch.bfs.gebaeude_wohnungs_register,KML||https://tinyurl.com/yy7ya4g9/BE/0869_bdg_erw.kml" TargetMode="External"/><Relationship Id="rId797" Type="http://schemas.openxmlformats.org/officeDocument/2006/relationships/hyperlink" Target="https://map.geo.admin.ch/?zoom=13&amp;E=2610851&amp;N=1182563&amp;layers=ch.kantone.cadastralwebmap-farbe,ch.swisstopo.amtliches-strassenverzeichnis,ch.bfs.gebaeude_wohnungs_register,KML||https://tinyurl.com/yy7ya4g9/BE/0885_bdg_erw.kml" TargetMode="External"/><Relationship Id="rId920" Type="http://schemas.openxmlformats.org/officeDocument/2006/relationships/hyperlink" Target="https://map.geo.admin.ch/?zoom=13&amp;E=2620769&amp;N=1176072&amp;layers=ch.kantone.cadastralwebmap-farbe,ch.swisstopo.amtliches-strassenverzeichnis,ch.bfs.gebaeude_wohnungs_register,KML||https://tinyurl.com/yy7ya4g9/BE/0938_bdg_erw.kml" TargetMode="External"/><Relationship Id="rId145" Type="http://schemas.openxmlformats.org/officeDocument/2006/relationships/hyperlink" Target="https://map.geo.admin.ch/?zoom=13&amp;E=2603212.293&amp;N=1203038.007&amp;layers=ch.kantone.cadastralwebmap-farbe,ch.swisstopo.amtliches-strassenverzeichnis,ch.bfs.gebaeude_wohnungs_register,KML||https://tinyurl.com/yy7ya4g9/BE/0362_bdg_erw.kml" TargetMode="External"/><Relationship Id="rId352" Type="http://schemas.openxmlformats.org/officeDocument/2006/relationships/hyperlink" Target="https://map.geo.admin.ch/?zoom=13&amp;E=2616057.1&amp;N=1159351.9&amp;layers=ch.kantone.cadastralwebmap-farbe,ch.swisstopo.amtliches-strassenverzeichnis,ch.bfs.gebaeude_wohnungs_register,KML||https://tinyurl.com/yy7ya4g9/BE/0563_bdg_erw.kml" TargetMode="External"/><Relationship Id="rId212" Type="http://schemas.openxmlformats.org/officeDocument/2006/relationships/hyperlink" Target="https://map.geo.admin.ch/?zoom=13&amp;E=2593688&amp;N=1223339&amp;layers=ch.kantone.cadastralwebmap-farbe,ch.swisstopo.amtliches-strassenverzeichnis,ch.bfs.gebaeude_wohnungs_register,KML||https://tinyurl.com/yy7ya4g9/BE/0390_bdg_erw.kml" TargetMode="External"/><Relationship Id="rId657" Type="http://schemas.openxmlformats.org/officeDocument/2006/relationships/hyperlink" Target="https://map.geo.admin.ch/?zoom=13&amp;E=2655931&amp;N=1176205&amp;layers=ch.kantone.cadastralwebmap-farbe,ch.swisstopo.amtliches-strassenverzeichnis,ch.bfs.gebaeude_wohnungs_register,KML||https://tinyurl.com/yy7ya4g9/BE/0785_bdg_erw.kml" TargetMode="External"/><Relationship Id="rId864" Type="http://schemas.openxmlformats.org/officeDocument/2006/relationships/hyperlink" Target="https://map.geo.admin.ch/?zoom=13&amp;E=2605851.25&amp;N=1184779.625&amp;layers=ch.kantone.cadastralwebmap-farbe,ch.swisstopo.amtliches-strassenverzeichnis,ch.bfs.gebaeude_wohnungs_register,KML||https://tinyurl.com/yy7ya4g9/BE/0889_bdg_erw.kml" TargetMode="External"/><Relationship Id="rId296" Type="http://schemas.openxmlformats.org/officeDocument/2006/relationships/hyperlink" Target="https://map.geo.admin.ch/?zoom=13&amp;E=2570617.132&amp;N=1208720.407&amp;layers=ch.kantone.cadastralwebmap-farbe,ch.swisstopo.amtliches-strassenverzeichnis,ch.bfs.gebaeude_wohnungs_register,KML||https://tinyurl.com/yy7ya4g9/BE/0494_bdg_erw.kml" TargetMode="External"/><Relationship Id="rId517" Type="http://schemas.openxmlformats.org/officeDocument/2006/relationships/hyperlink" Target="https://map.geo.admin.ch/?zoom=13&amp;E=2619420&amp;N=1195200&amp;layers=ch.kantone.cadastralwebmap-farbe,ch.swisstopo.amtliches-strassenverzeichnis,ch.bfs.gebaeude_wohnungs_register,KML||https://tinyurl.com/yy7ya4g9/BE/0620_bdg_erw.kml" TargetMode="External"/><Relationship Id="rId724" Type="http://schemas.openxmlformats.org/officeDocument/2006/relationships/hyperlink" Target="https://map.geo.admin.ch/?zoom=13&amp;E=2609113&amp;N=1185061&amp;layers=ch.kantone.cadastralwebmap-farbe,ch.swisstopo.amtliches-strassenverzeichnis,ch.bfs.gebaeude_wohnungs_register,KML||https://tinyurl.com/yy7ya4g9/BE/0872_bdg_erw.kml" TargetMode="External"/><Relationship Id="rId931" Type="http://schemas.openxmlformats.org/officeDocument/2006/relationships/hyperlink" Target="https://map.geo.admin.ch/?zoom=13&amp;E=2614674.014&amp;N=1181569.899&amp;layers=ch.kantone.cadastralwebmap-farbe,ch.swisstopo.amtliches-strassenverzeichnis,ch.bfs.gebaeude_wohnungs_register,KML||https://tinyurl.com/yy7ya4g9/BE/0939_bdg_erw.kml" TargetMode="External"/><Relationship Id="rId60" Type="http://schemas.openxmlformats.org/officeDocument/2006/relationships/hyperlink" Target="https://map.geo.admin.ch/?zoom=13&amp;E=2626414.828&amp;N=1226730.455&amp;layers=ch.kantone.cadastralwebmap-farbe,ch.swisstopo.amtliches-strassenverzeichnis,ch.bfs.gebaeude_wohnungs_register,KML||https://tinyurl.com/yy7ya4g9/BE/0331_bdg_erw.kml" TargetMode="External"/><Relationship Id="rId156" Type="http://schemas.openxmlformats.org/officeDocument/2006/relationships/hyperlink" Target="https://map.geo.admin.ch/?zoom=13&amp;E=2585547.774&amp;N=1219829.617&amp;layers=ch.kantone.cadastralwebmap-farbe,ch.swisstopo.amtliches-strassenverzeichnis,ch.bfs.gebaeude_wohnungs_register,KML||https://tinyurl.com/yy7ya4g9/BE/0371_bdg_erw.kml" TargetMode="External"/><Relationship Id="rId363" Type="http://schemas.openxmlformats.org/officeDocument/2006/relationships/hyperlink" Target="https://map.geo.admin.ch/?zoom=13&amp;E=2611727&amp;N=1152272.375&amp;layers=ch.kantone.cadastralwebmap-farbe,ch.swisstopo.amtliches-strassenverzeichnis,ch.bfs.gebaeude_wohnungs_register,KML||https://tinyurl.com/yy7ya4g9/BE/0563_bdg_erw.kml" TargetMode="External"/><Relationship Id="rId570" Type="http://schemas.openxmlformats.org/officeDocument/2006/relationships/hyperlink" Target="https://map.geo.admin.ch/?zoom=13&amp;E=2580568.103&amp;N=1219509.2&amp;layers=ch.kantone.cadastralwebmap-farbe,ch.swisstopo.amtliches-strassenverzeichnis,ch.bfs.gebaeude_wohnungs_register,KML||https://tinyurl.com/yy7ya4g9/BE/0726_bdg_erw.kml" TargetMode="External"/><Relationship Id="rId1007" Type="http://schemas.openxmlformats.org/officeDocument/2006/relationships/hyperlink" Target="https://map.geo.admin.ch/?zoom=13&amp;E=2621973.5&amp;N=1207132.625&amp;layers=ch.kantone.cadastralwebmap-farbe,ch.swisstopo.amtliches-strassenverzeichnis,ch.bfs.gebaeude_wohnungs_register,KML||https://tinyurl.com/yy7ya4g9/BE/0955_bdg_erw.kml" TargetMode="External"/><Relationship Id="rId223" Type="http://schemas.openxmlformats.org/officeDocument/2006/relationships/hyperlink" Target="https://map.geo.admin.ch/?zoom=13&amp;E=2615331&amp;N=1210869&amp;layers=ch.kantone.cadastralwebmap-farbe,ch.swisstopo.amtliches-strassenverzeichnis,ch.bfs.gebaeude_wohnungs_register,KML||https://tinyurl.com/yy7ya4g9/BE/0404_bdg_erw.kml" TargetMode="External"/><Relationship Id="rId430" Type="http://schemas.openxmlformats.org/officeDocument/2006/relationships/hyperlink" Target="https://map.geo.admin.ch/?zoom=13&amp;E=2619659&amp;N=1164617&amp;layers=ch.kantone.cadastralwebmap-farbe,ch.swisstopo.amtliches-strassenverzeichnis,ch.bfs.gebaeude_wohnungs_register,KML||https://tinyurl.com/yy7ya4g9/BE/0567_bdg_erw.kml" TargetMode="External"/><Relationship Id="rId668" Type="http://schemas.openxmlformats.org/officeDocument/2006/relationships/hyperlink" Target="https://map.geo.admin.ch/?zoom=13&amp;E=2591272.967&amp;N=1153078.542&amp;layers=ch.kantone.cadastralwebmap-farbe,ch.swisstopo.amtliches-strassenverzeichnis,ch.bfs.gebaeude_wohnungs_register,KML||https://tinyurl.com/yy7ya4g9/BE/0794_bdg_erw.kml" TargetMode="External"/><Relationship Id="rId875" Type="http://schemas.openxmlformats.org/officeDocument/2006/relationships/hyperlink" Target="https://map.geo.admin.ch/?zoom=13&amp;E=2625719&amp;N=1197675&amp;layers=ch.kantone.cadastralwebmap-farbe,ch.swisstopo.amtliches-strassenverzeichnis,ch.bfs.gebaeude_wohnungs_register,KML||https://tinyurl.com/yy7ya4g9/BE/0902_bdg_erw.kml" TargetMode="External"/><Relationship Id="rId1060" Type="http://schemas.openxmlformats.org/officeDocument/2006/relationships/hyperlink" Target="https://map.geo.admin.ch/?zoom=13&amp;E=2623950.096&amp;N=1216031.194&amp;layers=ch.kantone.cadastralwebmap-farbe,ch.swisstopo.amtliches-strassenverzeichnis,ch.bfs.gebaeude_wohnungs_register,KML||https://tinyurl.com/yy7ya4g9/BE/0959_bdg_erw.kml" TargetMode="External"/><Relationship Id="rId18" Type="http://schemas.openxmlformats.org/officeDocument/2006/relationships/hyperlink" Target="https://map.geo.admin.ch/?zoom=13&amp;E=2589530&amp;N=1213687&amp;layers=ch.kantone.cadastralwebmap-farbe,ch.swisstopo.amtliches-strassenverzeichnis,ch.bfs.gebaeude_wohnungs_register,KML||https://tinyurl.com/yy7ya4g9/BE/0306_bdg_erw.kml" TargetMode="External"/><Relationship Id="rId528" Type="http://schemas.openxmlformats.org/officeDocument/2006/relationships/hyperlink" Target="https://map.geo.admin.ch/?zoom=13&amp;E=2616538.795&amp;N=1194670.931&amp;layers=ch.kantone.cadastralwebmap-farbe,ch.swisstopo.amtliches-strassenverzeichnis,ch.bfs.gebaeude_wohnungs_register,KML||https://tinyurl.com/yy7ya4g9/BE/0628_bdg_erw.kml" TargetMode="External"/><Relationship Id="rId735" Type="http://schemas.openxmlformats.org/officeDocument/2006/relationships/hyperlink" Target="https://map.geo.admin.ch/?zoom=13&amp;E=2601996.75&amp;N=1190168.625&amp;layers=ch.kantone.cadastralwebmap-farbe,ch.swisstopo.amtliches-strassenverzeichnis,ch.bfs.gebaeude_wohnungs_register,KML||https://tinyurl.com/yy7ya4g9/BE/0877_bdg_erw.kml" TargetMode="External"/><Relationship Id="rId942" Type="http://schemas.openxmlformats.org/officeDocument/2006/relationships/hyperlink" Target="https://map.geo.admin.ch/?zoom=13&amp;E=2613661.639&amp;N=1180984.859&amp;layers=ch.kantone.cadastralwebmap-farbe,ch.swisstopo.amtliches-strassenverzeichnis,ch.bfs.gebaeude_wohnungs_register,KML||https://tinyurl.com/yy7ya4g9/BE/0939_bdg_erw.kml" TargetMode="External"/><Relationship Id="rId167" Type="http://schemas.openxmlformats.org/officeDocument/2006/relationships/hyperlink" Target="https://map.geo.admin.ch/?zoom=13&amp;E=2583267.825&amp;N=1220002.111&amp;layers=ch.kantone.cadastralwebmap-farbe,ch.swisstopo.amtliches-strassenverzeichnis,ch.bfs.gebaeude_wohnungs_register,KML||https://tinyurl.com/yy7ya4g9/BE/0371_bdg_erw.kml" TargetMode="External"/><Relationship Id="rId374" Type="http://schemas.openxmlformats.org/officeDocument/2006/relationships/hyperlink" Target="https://map.geo.admin.ch/?zoom=13&amp;E=2613380.25&amp;N=1154316.125&amp;layers=ch.kantone.cadastralwebmap-farbe,ch.swisstopo.amtliches-strassenverzeichnis,ch.bfs.gebaeude_wohnungs_register,KML||https://tinyurl.com/yy7ya4g9/BE/0563_bdg_erw.kml" TargetMode="External"/><Relationship Id="rId581" Type="http://schemas.openxmlformats.org/officeDocument/2006/relationships/hyperlink" Target="https://map.geo.admin.ch/?zoom=13&amp;E=2587903.369&amp;N=1218978.594&amp;layers=ch.kantone.cadastralwebmap-farbe,ch.swisstopo.amtliches-strassenverzeichnis,ch.bfs.gebaeude_wohnungs_register,KML||https://tinyurl.com/yy7ya4g9/BE/0733_bdg_erw.kml" TargetMode="External"/><Relationship Id="rId1018" Type="http://schemas.openxmlformats.org/officeDocument/2006/relationships/hyperlink" Target="https://map.geo.admin.ch/?zoom=13&amp;E=2629788&amp;N=1211074&amp;layers=ch.kantone.cadastralwebmap-farbe,ch.swisstopo.amtliches-strassenverzeichnis,ch.bfs.gebaeude_wohnungs_register,KML||https://tinyurl.com/yy7ya4g9/BE/0957_bdg_erw.kml" TargetMode="External"/><Relationship Id="rId71" Type="http://schemas.openxmlformats.org/officeDocument/2006/relationships/hyperlink" Target="https://map.geo.admin.ch/?zoom=13&amp;E=2627119.259&amp;N=1223998.299&amp;layers=ch.kantone.cadastralwebmap-farbe,ch.swisstopo.amtliches-strassenverzeichnis,ch.bfs.gebaeude_wohnungs_register,KML||https://tinyurl.com/yy7ya4g9/BE/0332_bdg_erw.kml" TargetMode="External"/><Relationship Id="rId234" Type="http://schemas.openxmlformats.org/officeDocument/2006/relationships/hyperlink" Target="https://map.geo.admin.ch/?zoom=13&amp;E=2614254.5&amp;N=1210793.375&amp;layers=ch.kantone.cadastralwebmap-farbe,ch.swisstopo.amtliches-strassenverzeichnis,ch.bfs.gebaeude_wohnungs_register,KML||https://tinyurl.com/yy7ya4g9/BE/0404_bdg_erw.kml" TargetMode="External"/><Relationship Id="rId679" Type="http://schemas.openxmlformats.org/officeDocument/2006/relationships/hyperlink" Target="https://map.geo.admin.ch/?zoom=13&amp;E=2593644.5&amp;N=1180211.375&amp;layers=ch.kantone.cadastralwebmap-farbe,ch.swisstopo.amtliches-strassenverzeichnis,ch.bfs.gebaeude_wohnungs_register,KML||https://tinyurl.com/yy7ya4g9/BE/0852_bdg_erw.kml" TargetMode="External"/><Relationship Id="rId802" Type="http://schemas.openxmlformats.org/officeDocument/2006/relationships/hyperlink" Target="https://map.geo.admin.ch/?zoom=13&amp;E=2605329&amp;N=1177934&amp;layers=ch.kantone.cadastralwebmap-farbe,ch.swisstopo.amtliches-strassenverzeichnis,ch.bfs.gebaeude_wohnungs_register,KML||https://tinyurl.com/yy7ya4g9/BE/0886_bdg_erw.kml" TargetMode="External"/><Relationship Id="rId886" Type="http://schemas.openxmlformats.org/officeDocument/2006/relationships/hyperlink" Target="https://map.geo.admin.ch/?zoom=13&amp;E=2631006&amp;N=1196990&amp;layers=ch.kantone.cadastralwebmap-farbe,ch.swisstopo.amtliches-strassenverzeichnis,ch.bfs.gebaeude_wohnungs_register,KML||https://tinyurl.com/yy7ya4g9/BE/0909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591152&amp;N=1216622&amp;layers=ch.kantone.cadastralwebmap-farbe,ch.swisstopo.amtliches-strassenverzeichnis,ch.bfs.gebaeude_wohnungs_register,KML||https://tinyurl.com/yy7ya4g9/BE/0306_bdg_erw.kml" TargetMode="External"/><Relationship Id="rId441" Type="http://schemas.openxmlformats.org/officeDocument/2006/relationships/hyperlink" Target="https://map.geo.admin.ch/?zoom=13&amp;E=2620567&amp;N=1164331&amp;layers=ch.kantone.cadastralwebmap-farbe,ch.swisstopo.amtliches-strassenverzeichnis,ch.bfs.gebaeude_wohnungs_register,KML||https://tinyurl.com/yy7ya4g9/BE/0567_bdg_erw.kml" TargetMode="External"/><Relationship Id="rId539" Type="http://schemas.openxmlformats.org/officeDocument/2006/relationships/hyperlink" Target="https://map.geo.admin.ch/?zoom=13&amp;E=2610351.836&amp;N=1188666.044&amp;layers=ch.kantone.cadastralwebmap-farbe,ch.swisstopo.amtliches-strassenverzeichnis,ch.bfs.gebaeude_wohnungs_register,KML||https://tinyurl.com/yy7ya4g9/BE/0632_bdg_erw.kml" TargetMode="External"/><Relationship Id="rId746" Type="http://schemas.openxmlformats.org/officeDocument/2006/relationships/hyperlink" Target="https://map.geo.admin.ch/?zoom=13&amp;E=2599911.25&amp;N=1189425.625&amp;layers=ch.kantone.cadastralwebmap-farbe,ch.swisstopo.amtliches-strassenverzeichnis,ch.bfs.gebaeude_wohnungs_register,KML||https://tinyurl.com/yy7ya4g9/BE/0877_bdg_erw.kml" TargetMode="External"/><Relationship Id="rId1071" Type="http://schemas.openxmlformats.org/officeDocument/2006/relationships/hyperlink" Target="https://map.geo.admin.ch/?zoom=13&amp;E=2613425&amp;N=1234975.375&amp;layers=ch.kantone.cadastralwebmap-farbe,ch.swisstopo.amtliches-strassenverzeichnis,ch.bfs.gebaeude_wohnungs_register,KML||https://tinyurl.com/yy7ya4g9/BE/0975_bdg_erw.kml" TargetMode="External"/><Relationship Id="rId178" Type="http://schemas.openxmlformats.org/officeDocument/2006/relationships/hyperlink" Target="https://map.geo.admin.ch/?zoom=13&amp;E=2588264.806&amp;N=1223060.009&amp;layers=ch.kantone.cadastralwebmap-farbe,ch.swisstopo.amtliches-strassenverzeichnis,ch.bfs.gebaeude_wohnungs_register,KML||https://tinyurl.com/yy7ya4g9/BE/0371_bdg_erw.kml" TargetMode="External"/><Relationship Id="rId301" Type="http://schemas.openxmlformats.org/officeDocument/2006/relationships/hyperlink" Target="https://map.geo.admin.ch/?zoom=13&amp;E=2574624&amp;N=1205508&amp;layers=ch.kantone.cadastralwebmap-farbe,ch.swisstopo.amtliches-strassenverzeichnis,ch.bfs.gebaeude_wohnungs_register,KML||https://tinyurl.com/yy7ya4g9/BE/0496_bdg_erw.kml" TargetMode="External"/><Relationship Id="rId953" Type="http://schemas.openxmlformats.org/officeDocument/2006/relationships/hyperlink" Target="https://map.geo.admin.ch/?zoom=13&amp;E=2610301&amp;N=1177882&amp;layers=ch.kantone.cadastralwebmap-farbe,ch.swisstopo.amtliches-strassenverzeichnis,ch.bfs.gebaeude_wohnungs_register,KML||https://tinyurl.com/yy7ya4g9/BE/0941_bdg_erw.kml" TargetMode="External"/><Relationship Id="rId1029" Type="http://schemas.openxmlformats.org/officeDocument/2006/relationships/hyperlink" Target="https://map.geo.admin.ch/?zoom=13&amp;E=2625664.75&amp;N=1219027.625&amp;layers=ch.kantone.cadastralwebmap-farbe,ch.swisstopo.amtliches-strassenverzeichnis,ch.bfs.gebaeude_wohnungs_register,KML||https://tinyurl.com/yy7ya4g9/BE/0959_bdg_erw.kml" TargetMode="External"/><Relationship Id="rId82" Type="http://schemas.openxmlformats.org/officeDocument/2006/relationships/hyperlink" Target="https://map.geo.admin.ch/?zoom=13&amp;E=2628497&amp;N=1233121&amp;layers=ch.kantone.cadastralwebmap-farbe,ch.swisstopo.amtliches-strassenverzeichnis,ch.bfs.gebaeude_wohnungs_register,KML||https://tinyurl.com/yy7ya4g9/BE/0337_bdg_erw.kml" TargetMode="External"/><Relationship Id="rId385" Type="http://schemas.openxmlformats.org/officeDocument/2006/relationships/hyperlink" Target="https://map.geo.admin.ch/?zoom=13&amp;E=2615881.48&amp;N=1159779.016&amp;layers=ch.kantone.cadastralwebmap-farbe,ch.swisstopo.amtliches-strassenverzeichnis,ch.bfs.gebaeude_wohnungs_register,KML||https://tinyurl.com/yy7ya4g9/BE/0563_bdg_erw.kml" TargetMode="External"/><Relationship Id="rId592" Type="http://schemas.openxmlformats.org/officeDocument/2006/relationships/hyperlink" Target="https://map.geo.admin.ch/?zoom=13&amp;E=2585795.434&amp;N=1217784.098&amp;layers=ch.kantone.cadastralwebmap-farbe,ch.swisstopo.amtliches-strassenverzeichnis,ch.bfs.gebaeude_wohnungs_register,KML||https://tinyurl.com/yy7ya4g9/BE/0745_bdg_erw.kml" TargetMode="External"/><Relationship Id="rId606" Type="http://schemas.openxmlformats.org/officeDocument/2006/relationships/hyperlink" Target="https://map.geo.admin.ch/?zoom=13&amp;E=2582676&amp;N=1216080&amp;layers=ch.kantone.cadastralwebmap-farbe,ch.swisstopo.amtliches-strassenverzeichnis,ch.bfs.gebaeude_wohnungs_register,KML||https://tinyurl.com/yy7ya4g9/BE/0750_bdg_erw.kml" TargetMode="External"/><Relationship Id="rId813" Type="http://schemas.openxmlformats.org/officeDocument/2006/relationships/hyperlink" Target="https://map.geo.admin.ch/?zoom=13&amp;E=2605177&amp;N=1178867&amp;layers=ch.kantone.cadastralwebmap-farbe,ch.swisstopo.amtliches-strassenverzeichnis,ch.bfs.gebaeude_wohnungs_register,KML||https://tinyurl.com/yy7ya4g9/BE/0886_bdg_erw.kml" TargetMode="External"/><Relationship Id="rId245" Type="http://schemas.openxmlformats.org/officeDocument/2006/relationships/hyperlink" Target="https://map.geo.admin.ch/?zoom=13&amp;E=2614570.115&amp;N=1209530.024&amp;layers=ch.kantone.cadastralwebmap-farbe,ch.swisstopo.amtliches-strassenverzeichnis,ch.bfs.gebaeude_wohnungs_register,KML||https://tinyurl.com/yy7ya4g9/BE/0404_bdg_erw.kml" TargetMode="External"/><Relationship Id="rId452" Type="http://schemas.openxmlformats.org/officeDocument/2006/relationships/hyperlink" Target="https://map.geo.admin.ch/?zoom=13&amp;E=2627559.869&amp;N=1165906.99&amp;layers=ch.kantone.cadastralwebmap-farbe,ch.swisstopo.amtliches-strassenverzeichnis,ch.bfs.gebaeude_wohnungs_register,KML||https://tinyurl.com/yy7ya4g9/BE/0575_bdg_erw.kml" TargetMode="External"/><Relationship Id="rId897" Type="http://schemas.openxmlformats.org/officeDocument/2006/relationships/hyperlink" Target="https://map.geo.admin.ch/?zoom=13&amp;E=2628543.99&amp;N=1182465.44&amp;layers=ch.kantone.cadastralwebmap-farbe,ch.swisstopo.amtliches-strassenverzeichnis,ch.bfs.gebaeude_wohnungs_register,KML||https://tinyurl.com/yy7ya4g9/BE/0924_bdg_erw.kml" TargetMode="External"/><Relationship Id="rId1082" Type="http://schemas.openxmlformats.org/officeDocument/2006/relationships/hyperlink" Target="https://map.geo.admin.ch/?zoom=13&amp;E=2619203&amp;N=1226546&amp;layers=ch.kantone.cadastralwebmap-farbe,ch.swisstopo.amtliches-strassenverzeichnis,ch.bfs.gebaeude_wohnungs_register,KML||https://tinyurl.com/yy7ya4g9/BE/0982_bdg_erw.kml" TargetMode="External"/><Relationship Id="rId105" Type="http://schemas.openxmlformats.org/officeDocument/2006/relationships/hyperlink" Target="https://map.geo.admin.ch/?zoom=13&amp;E=2602015.962&amp;N=1198914.836&amp;layers=ch.kantone.cadastralwebmap-farbe,ch.swisstopo.amtliches-strassenverzeichnis,ch.bfs.gebaeude_wohnungs_register,KML||https://tinyurl.com/yy7ya4g9/BE/0351_bdg_erw.kml" TargetMode="External"/><Relationship Id="rId312" Type="http://schemas.openxmlformats.org/officeDocument/2006/relationships/hyperlink" Target="https://map.geo.admin.ch/?zoom=13&amp;E=2605682.822&amp;N=1216040.218&amp;layers=ch.kantone.cadastralwebmap-farbe,ch.swisstopo.amtliches-strassenverzeichnis,ch.bfs.gebaeude_wohnungs_register,KML||https://tinyurl.com/yy7ya4g9/BE/0538_bdg_erw.kml" TargetMode="External"/><Relationship Id="rId757" Type="http://schemas.openxmlformats.org/officeDocument/2006/relationships/hyperlink" Target="https://map.geo.admin.ch/?zoom=13&amp;E=2602192.5&amp;N=1189849.125&amp;layers=ch.kantone.cadastralwebmap-farbe,ch.swisstopo.amtliches-strassenverzeichnis,ch.bfs.gebaeude_wohnungs_register,KML||https://tinyurl.com/yy7ya4g9/BE/0877_bdg_erw.kml" TargetMode="External"/><Relationship Id="rId964" Type="http://schemas.openxmlformats.org/officeDocument/2006/relationships/hyperlink" Target="https://map.geo.admin.ch/?zoom=13&amp;E=2614785.037&amp;N=1178681.976&amp;layers=ch.kantone.cadastralwebmap-farbe,ch.swisstopo.amtliches-strassenverzeichnis,ch.bfs.gebaeude_wohnungs_register,KML||https://tinyurl.com/yy7ya4g9/BE/0942_bdg_erw.kml" TargetMode="External"/><Relationship Id="rId93" Type="http://schemas.openxmlformats.org/officeDocument/2006/relationships/hyperlink" Target="https://map.geo.admin.ch/?zoom=13&amp;E=2625233&amp;N=1220757.125&amp;layers=ch.kantone.cadastralwebmap-farbe,ch.swisstopo.amtliches-strassenverzeichnis,ch.bfs.gebaeude_wohnungs_register,KML||https://tinyurl.com/yy7ya4g9/BE/0344_bdg_erw.kml" TargetMode="External"/><Relationship Id="rId189" Type="http://schemas.openxmlformats.org/officeDocument/2006/relationships/hyperlink" Target="https://map.geo.admin.ch/?zoom=13&amp;E=2587948.05&amp;N=1221790.7&amp;layers=ch.kantone.cadastralwebmap-farbe,ch.swisstopo.amtliches-strassenverzeichnis,ch.bfs.gebaeude_wohnungs_register,KML||https://tinyurl.com/yy7ya4g9/BE/0371_bdg_erw.kml" TargetMode="External"/><Relationship Id="rId396" Type="http://schemas.openxmlformats.org/officeDocument/2006/relationships/hyperlink" Target="https://map.geo.admin.ch/?zoom=13&amp;E=2623687&amp;N=1153242&amp;layers=ch.kantone.cadastralwebmap-farbe,ch.swisstopo.amtliches-strassenverzeichnis,ch.bfs.gebaeude_wohnungs_register,KML||https://tinyurl.com/yy7ya4g9/BE/0567_bdg_erw.kml" TargetMode="External"/><Relationship Id="rId617" Type="http://schemas.openxmlformats.org/officeDocument/2006/relationships/hyperlink" Target="https://map.geo.admin.ch/?zoom=13&amp;E=2589605&amp;N=1216748.5&amp;layers=ch.kantone.cadastralwebmap-farbe,ch.swisstopo.amtliches-strassenverzeichnis,ch.bfs.gebaeude_wohnungs_register,KML||https://tinyurl.com/yy7ya4g9/BE/0755_bdg_erw.kml" TargetMode="External"/><Relationship Id="rId824" Type="http://schemas.openxmlformats.org/officeDocument/2006/relationships/hyperlink" Target="https://map.geo.admin.ch/?zoom=13&amp;E=2605777&amp;N=1179172&amp;layers=ch.kantone.cadastralwebmap-farbe,ch.swisstopo.amtliches-strassenverzeichnis,ch.bfs.gebaeude_wohnungs_register,KML||https://tinyurl.com/yy7ya4g9/BE/0886_bdg_erw.kml" TargetMode="External"/><Relationship Id="rId256" Type="http://schemas.openxmlformats.org/officeDocument/2006/relationships/hyperlink" Target="https://map.geo.admin.ch/?zoom=13&amp;E=2610491&amp;N=1215527&amp;layers=ch.kantone.cadastralwebmap-farbe,ch.swisstopo.amtliches-strassenverzeichnis,ch.bfs.gebaeude_wohnungs_register,KML||https://tinyurl.com/yy7ya4g9/BE/0412_bdg_erw.kml" TargetMode="External"/><Relationship Id="rId463" Type="http://schemas.openxmlformats.org/officeDocument/2006/relationships/hyperlink" Target="https://map.geo.admin.ch/?zoom=13&amp;E=2634818&amp;N=1155065&amp;layers=ch.kantone.cadastralwebmap-farbe,ch.swisstopo.amtliches-strassenverzeichnis,ch.bfs.gebaeude_wohnungs_register,KML||https://tinyurl.com/yy7ya4g9/BE/0584_bdg_erw.kml" TargetMode="External"/><Relationship Id="rId670" Type="http://schemas.openxmlformats.org/officeDocument/2006/relationships/hyperlink" Target="https://map.geo.admin.ch/?zoom=13&amp;E=2586873&amp;N=1138934.9&amp;layers=ch.kantone.cadastralwebmap-farbe,ch.swisstopo.amtliches-strassenverzeichnis,ch.bfs.gebaeude_wohnungs_register,KML||https://tinyurl.com/yy7ya4g9/BE/0841_bdg_erw.kml" TargetMode="External"/><Relationship Id="rId1093" Type="http://schemas.openxmlformats.org/officeDocument/2006/relationships/hyperlink" Target="https://map.geo.admin.ch/?zoom=13&amp;E=2618746.25&amp;N=1230713.875&amp;layers=ch.kantone.cadastralwebmap-farbe,ch.swisstopo.amtliches-strassenverzeichnis,ch.bfs.gebaeude_wohnungs_register,KML||https://tinyurl.com/yy7ya4g9/BE/0991_bdg_erw.kml" TargetMode="External"/><Relationship Id="rId1107" Type="http://schemas.openxmlformats.org/officeDocument/2006/relationships/hyperlink" Target="https://map.geo.admin.ch/?zoom=13&amp;E=2618594.75&amp;N=1231229.125&amp;layers=ch.kantone.cadastralwebmap-farbe,ch.swisstopo.amtliches-strassenverzeichnis,ch.bfs.gebaeude_wohnungs_register,KML||https://tinyurl.com/yy7ya4g9/BE/0991_bdg_erw.kml" TargetMode="External"/><Relationship Id="rId116" Type="http://schemas.openxmlformats.org/officeDocument/2006/relationships/hyperlink" Target="https://map.geo.admin.ch/?zoom=13&amp;E=2599546.818&amp;N=1202595.613&amp;layers=ch.kantone.cadastralwebmap-farbe,ch.swisstopo.amtliches-strassenverzeichnis,ch.bfs.gebaeude_wohnungs_register,KML||https://tinyurl.com/yy7ya4g9/BE/0353_bdg_erw.kml" TargetMode="External"/><Relationship Id="rId323" Type="http://schemas.openxmlformats.org/officeDocument/2006/relationships/hyperlink" Target="https://map.geo.admin.ch/?zoom=13&amp;E=2600915&amp;N=1207576&amp;layers=ch.kantone.cadastralwebmap-farbe,ch.swisstopo.amtliches-strassenverzeichnis,ch.bfs.gebaeude_wohnungs_register,KML||https://tinyurl.com/yy7ya4g9/BE/0546_bdg_erw.kml" TargetMode="External"/><Relationship Id="rId530" Type="http://schemas.openxmlformats.org/officeDocument/2006/relationships/hyperlink" Target="https://map.geo.admin.ch/?zoom=13&amp;E=2606578.5&amp;N=1195820.125&amp;layers=ch.kantone.cadastralwebmap-farbe,ch.swisstopo.amtliches-strassenverzeichnis,ch.bfs.gebaeude_wohnungs_register,KML||https://tinyurl.com/yy7ya4g9/BE/0630_bdg_erw.kml" TargetMode="External"/><Relationship Id="rId768" Type="http://schemas.openxmlformats.org/officeDocument/2006/relationships/hyperlink" Target="https://map.geo.admin.ch/?zoom=13&amp;E=2601992.25&amp;N=1190179.625&amp;layers=ch.kantone.cadastralwebmap-farbe,ch.swisstopo.amtliches-strassenverzeichnis,ch.bfs.gebaeude_wohnungs_register,KML||https://tinyurl.com/yy7ya4g9/BE/0877_bdg_erw.kml" TargetMode="External"/><Relationship Id="rId975" Type="http://schemas.openxmlformats.org/officeDocument/2006/relationships/hyperlink" Target="https://map.geo.admin.ch/?zoom=13&amp;E=2610473&amp;N=1180103.375&amp;layers=ch.kantone.cadastralwebmap-farbe,ch.swisstopo.amtliches-strassenverzeichnis,ch.bfs.gebaeude_wohnungs_register,KML||https://tinyurl.com/yy7ya4g9/BE/0944_bdg_erw.kml" TargetMode="External"/><Relationship Id="rId20" Type="http://schemas.openxmlformats.org/officeDocument/2006/relationships/hyperlink" Target="https://map.geo.admin.ch/?zoom=13&amp;E=2589462&amp;N=1213627&amp;layers=ch.kantone.cadastralwebmap-farbe,ch.swisstopo.amtliches-strassenverzeichnis,ch.bfs.gebaeude_wohnungs_register,KML||https://tinyurl.com/yy7ya4g9/BE/0306_bdg_erw.kml" TargetMode="External"/><Relationship Id="rId628" Type="http://schemas.openxmlformats.org/officeDocument/2006/relationships/hyperlink" Target="https://map.geo.admin.ch/?zoom=13&amp;E=2607425&amp;N=1161003&amp;layers=ch.kantone.cadastralwebmap-farbe,ch.swisstopo.amtliches-strassenverzeichnis,ch.bfs.gebaeude_wohnungs_register,KML||https://tinyurl.com/yy7ya4g9/BE/0762_bdg_erw.kml" TargetMode="External"/><Relationship Id="rId835" Type="http://schemas.openxmlformats.org/officeDocument/2006/relationships/hyperlink" Target="https://map.geo.admin.ch/?zoom=13&amp;E=2604427&amp;N=1179515&amp;layers=ch.kantone.cadastralwebmap-farbe,ch.swisstopo.amtliches-strassenverzeichnis,ch.bfs.gebaeude_wohnungs_register,KML||https://tinyurl.com/yy7ya4g9/BE/0886_bdg_erw.kml" TargetMode="External"/><Relationship Id="rId267" Type="http://schemas.openxmlformats.org/officeDocument/2006/relationships/hyperlink" Target="https://map.geo.admin.ch/?zoom=13&amp;E=2610386.75&amp;N=1214827.5&amp;layers=ch.kantone.cadastralwebmap-farbe,ch.swisstopo.amtliches-strassenverzeichnis,ch.bfs.gebaeude_wohnungs_register,KML||https://tinyurl.com/yy7ya4g9/BE/0420_bdg_erw.kml" TargetMode="External"/><Relationship Id="rId474" Type="http://schemas.openxmlformats.org/officeDocument/2006/relationships/hyperlink" Target="https://map.geo.admin.ch/?zoom=13&amp;E=2642176&amp;N=1178110&amp;layers=ch.kantone.cadastralwebmap-farbe,ch.swisstopo.amtliches-strassenverzeichnis,ch.bfs.gebaeude_wohnungs_register,KML||https://tinyurl.com/yy7ya4g9/BE/0589_bdg_erw.kml" TargetMode="External"/><Relationship Id="rId1020" Type="http://schemas.openxmlformats.org/officeDocument/2006/relationships/hyperlink" Target="https://map.geo.admin.ch/?zoom=13&amp;E=2623799.434&amp;N=1208393.946&amp;layers=ch.kantone.cadastralwebmap-farbe,ch.swisstopo.amtliches-strassenverzeichnis,ch.bfs.gebaeude_wohnungs_register,KML||https://tinyurl.com/yy7ya4g9/BE/0957_bdg_erw.kml" TargetMode="External"/><Relationship Id="rId1118" Type="http://schemas.openxmlformats.org/officeDocument/2006/relationships/hyperlink" Target="https://map.geo.admin.ch/?zoom=13&amp;E=2618118&amp;N=1231003.125&amp;layers=ch.kantone.cadastralwebmap-farbe,ch.swisstopo.amtliches-strassenverzeichnis,ch.bfs.gebaeude_wohnungs_register,KML||https://tinyurl.com/yy7ya4g9/BE/0991_bdg_erw.kml" TargetMode="External"/><Relationship Id="rId127" Type="http://schemas.openxmlformats.org/officeDocument/2006/relationships/hyperlink" Target="https://map.geo.admin.ch/?zoom=13&amp;E=2609789.4&amp;N=1201158.1&amp;layers=ch.kantone.cadastralwebmap-farbe,ch.swisstopo.amtliches-strassenverzeichnis,ch.bfs.gebaeude_wohnungs_register,KML||https://tinyurl.com/yy7ya4g9/BE/0359_bdg_erw.kml" TargetMode="External"/><Relationship Id="rId681" Type="http://schemas.openxmlformats.org/officeDocument/2006/relationships/hyperlink" Target="https://map.geo.admin.ch/?zoom=13&amp;E=2593640.25&amp;N=1180212.375&amp;layers=ch.kantone.cadastralwebmap-farbe,ch.swisstopo.amtliches-strassenverzeichnis,ch.bfs.gebaeude_wohnungs_register,KML||https://tinyurl.com/yy7ya4g9/BE/0852_bdg_erw.kml" TargetMode="External"/><Relationship Id="rId779" Type="http://schemas.openxmlformats.org/officeDocument/2006/relationships/hyperlink" Target="https://map.geo.admin.ch/?zoom=13&amp;E=2603258.831&amp;N=1183839.204&amp;layers=ch.kantone.cadastralwebmap-farbe,ch.swisstopo.amtliches-strassenverzeichnis,ch.bfs.gebaeude_wohnungs_register,KML||https://tinyurl.com/yy7ya4g9/BE/0879_bdg_erw.kml" TargetMode="External"/><Relationship Id="rId902" Type="http://schemas.openxmlformats.org/officeDocument/2006/relationships/hyperlink" Target="https://map.geo.admin.ch/?zoom=13&amp;E=2617585&amp;N=1177438&amp;layers=ch.kantone.cadastralwebmap-farbe,ch.swisstopo.amtliches-strassenverzeichnis,ch.bfs.gebaeude_wohnungs_register,KML||https://tinyurl.com/yy7ya4g9/BE/0927_bdg_erw.kml" TargetMode="External"/><Relationship Id="rId986" Type="http://schemas.openxmlformats.org/officeDocument/2006/relationships/hyperlink" Target="https://map.geo.admin.ch/?zoom=13&amp;E=2626805.125&amp;N=1215091.666&amp;layers=ch.kantone.cadastralwebmap-farbe,ch.swisstopo.amtliches-strassenverzeichnis,ch.bfs.gebaeude_wohnungs_register,KML||https://tinyurl.com/yy7ya4g9/BE/0952_bdg_erw.kml" TargetMode="External"/><Relationship Id="rId31" Type="http://schemas.openxmlformats.org/officeDocument/2006/relationships/hyperlink" Target="https://map.geo.admin.ch/?zoom=13&amp;E=2590176&amp;N=1214009&amp;layers=ch.kantone.cadastralwebmap-farbe,ch.swisstopo.amtliches-strassenverzeichnis,ch.bfs.gebaeude_wohnungs_register,KML||https://tinyurl.com/yy7ya4g9/BE/0306_bdg_erw.kml" TargetMode="External"/><Relationship Id="rId334" Type="http://schemas.openxmlformats.org/officeDocument/2006/relationships/hyperlink" Target="https://map.geo.admin.ch/?zoom=13&amp;E=2615746.329&amp;N=1159203.762&amp;layers=ch.kantone.cadastralwebmap-farbe,ch.swisstopo.amtliches-strassenverzeichnis,ch.bfs.gebaeude_wohnungs_register,KML||https://tinyurl.com/yy7ya4g9/BE/0563_bdg_erw.kml" TargetMode="External"/><Relationship Id="rId541" Type="http://schemas.openxmlformats.org/officeDocument/2006/relationships/hyperlink" Target="https://map.geo.admin.ch/?zoom=13&amp;E=2610334.131&amp;N=1188685.112&amp;layers=ch.kantone.cadastralwebmap-farbe,ch.swisstopo.amtliches-strassenverzeichnis,ch.bfs.gebaeude_wohnungs_register,KML||https://tinyurl.com/yy7ya4g9/BE/0632_bdg_erw.kml" TargetMode="External"/><Relationship Id="rId639" Type="http://schemas.openxmlformats.org/officeDocument/2006/relationships/hyperlink" Target="https://map.geo.admin.ch/?zoom=13&amp;E=2609434&amp;N=1162090&amp;layers=ch.kantone.cadastralwebmap-farbe,ch.swisstopo.amtliches-strassenverzeichnis,ch.bfs.gebaeude_wohnungs_register,KML||https://tinyurl.com/yy7ya4g9/BE/0762_bdg_erw.kml" TargetMode="External"/><Relationship Id="rId180" Type="http://schemas.openxmlformats.org/officeDocument/2006/relationships/hyperlink" Target="https://map.geo.admin.ch/?zoom=13&amp;E=2586517.573&amp;N=1220164.252&amp;layers=ch.kantone.cadastralwebmap-farbe,ch.swisstopo.amtliches-strassenverzeichnis,ch.bfs.gebaeude_wohnungs_register,KML||https://tinyurl.com/yy7ya4g9/BE/0371_bdg_erw.kml" TargetMode="External"/><Relationship Id="rId278" Type="http://schemas.openxmlformats.org/officeDocument/2006/relationships/hyperlink" Target="https://map.geo.admin.ch/?zoom=13&amp;E=2610082.5&amp;N=1215420.25&amp;layers=ch.kantone.cadastralwebmap-farbe,ch.swisstopo.amtliches-strassenverzeichnis,ch.bfs.gebaeude_wohnungs_register,KML||https://tinyurl.com/yy7ya4g9/BE/0420_bdg_erw.kml" TargetMode="External"/><Relationship Id="rId401" Type="http://schemas.openxmlformats.org/officeDocument/2006/relationships/hyperlink" Target="https://map.geo.admin.ch/?zoom=13&amp;E=2620730&amp;N=1159657&amp;layers=ch.kantone.cadastralwebmap-farbe,ch.swisstopo.amtliches-strassenverzeichnis,ch.bfs.gebaeude_wohnungs_register,KML||https://tinyurl.com/yy7ya4g9/BE/0567_bdg_erw.kml" TargetMode="External"/><Relationship Id="rId846" Type="http://schemas.openxmlformats.org/officeDocument/2006/relationships/hyperlink" Target="https://map.geo.admin.ch/?zoom=13&amp;E=2604963&amp;N=1178640&amp;layers=ch.kantone.cadastralwebmap-farbe,ch.swisstopo.amtliches-strassenverzeichnis,ch.bfs.gebaeude_wohnungs_register,KML||https://tinyurl.com/yy7ya4g9/BE/0886_bdg_erw.kml" TargetMode="External"/><Relationship Id="rId1031" Type="http://schemas.openxmlformats.org/officeDocument/2006/relationships/hyperlink" Target="https://map.geo.admin.ch/?zoom=13&amp;E=2626078.652&amp;N=1218866.55&amp;layers=ch.kantone.cadastralwebmap-farbe,ch.swisstopo.amtliches-strassenverzeichnis,ch.bfs.gebaeude_wohnungs_register,KML||https://tinyurl.com/yy7ya4g9/BE/0959_bdg_erw.kml" TargetMode="External"/><Relationship Id="rId1129" Type="http://schemas.openxmlformats.org/officeDocument/2006/relationships/hyperlink" Target="https://map.geo.admin.ch/?zoom=13&amp;E=2617770.75&amp;N=1231045.375&amp;layers=ch.kantone.cadastralwebmap-farbe,ch.swisstopo.amtliches-strassenverzeichnis,ch.bfs.gebaeude_wohnungs_register,KML||https://tinyurl.com/yy7ya4g9/BE/0991_bdg_erw.kml" TargetMode="External"/><Relationship Id="rId485" Type="http://schemas.openxmlformats.org/officeDocument/2006/relationships/hyperlink" Target="https://map.geo.admin.ch/?zoom=13&amp;E=2632315&amp;N=1168529&amp;layers=ch.kantone.cadastralwebmap-farbe,ch.swisstopo.amtliches-strassenverzeichnis,ch.bfs.gebaeude_wohnungs_register,KML||https://tinyurl.com/yy7ya4g9/BE/0594_bdg_erw.kml" TargetMode="External"/><Relationship Id="rId692" Type="http://schemas.openxmlformats.org/officeDocument/2006/relationships/hyperlink" Target="https://map.geo.admin.ch/?zoom=13&amp;E=2595866.708&amp;N=1180473.541&amp;layers=ch.kantone.cadastralwebmap-farbe,ch.swisstopo.amtliches-strassenverzeichnis,ch.bfs.gebaeude_wohnungs_register,KML||https://tinyurl.com/yy7ya4g9/BE/0853_bdg_erw.kml" TargetMode="External"/><Relationship Id="rId706" Type="http://schemas.openxmlformats.org/officeDocument/2006/relationships/hyperlink" Target="https://map.geo.admin.ch/?zoom=13&amp;E=2607978.443&amp;N=1187700.516&amp;layers=ch.kantone.cadastralwebmap-farbe,ch.swisstopo.amtliches-strassenverzeichnis,ch.bfs.gebaeude_wohnungs_register,KML||https://tinyurl.com/yy7ya4g9/BE/0866_bdg_erw.kml" TargetMode="External"/><Relationship Id="rId913" Type="http://schemas.openxmlformats.org/officeDocument/2006/relationships/hyperlink" Target="https://map.geo.admin.ch/?zoom=13&amp;E=2622540.189&amp;N=1183995.882&amp;layers=ch.kantone.cadastralwebmap-farbe,ch.swisstopo.amtliches-strassenverzeichnis,ch.bfs.gebaeude_wohnungs_register,KML||https://tinyurl.com/yy7ya4g9/BE/0935_bdg_erw.kml" TargetMode="External"/><Relationship Id="rId42" Type="http://schemas.openxmlformats.org/officeDocument/2006/relationships/hyperlink" Target="https://map.geo.admin.ch/?zoom=13&amp;E=2597818&amp;N=1210813&amp;layers=ch.kantone.cadastralwebmap-farbe,ch.swisstopo.amtliches-strassenverzeichnis,ch.bfs.gebaeude_wohnungs_register,KML||https://tinyurl.com/yy7ya4g9/BE/0310_bdg_erw.kml" TargetMode="External"/><Relationship Id="rId138" Type="http://schemas.openxmlformats.org/officeDocument/2006/relationships/hyperlink" Target="https://map.geo.admin.ch/?zoom=13&amp;E=2595765&amp;N=1201870&amp;layers=ch.kantone.cadastralwebmap-farbe,ch.swisstopo.amtliches-strassenverzeichnis,ch.bfs.gebaeude_wohnungs_register,KML||https://tinyurl.com/yy7ya4g9/BE/0360_bdg_erw.kml" TargetMode="External"/><Relationship Id="rId345" Type="http://schemas.openxmlformats.org/officeDocument/2006/relationships/hyperlink" Target="https://map.geo.admin.ch/?zoom=13&amp;E=2615860.867&amp;N=1160047.803&amp;layers=ch.kantone.cadastralwebmap-farbe,ch.swisstopo.amtliches-strassenverzeichnis,ch.bfs.gebaeude_wohnungs_register,KML||https://tinyurl.com/yy7ya4g9/BE/0563_bdg_erw.kml" TargetMode="External"/><Relationship Id="rId552" Type="http://schemas.openxmlformats.org/officeDocument/2006/relationships/hyperlink" Target="https://map.geo.admin.ch/?zoom=13&amp;E=2584768.267&amp;N=1194847.84&amp;layers=ch.kantone.cadastralwebmap-farbe,ch.swisstopo.amtliches-strassenverzeichnis,ch.bfs.gebaeude_wohnungs_register,KML||https://tinyurl.com/yy7ya4g9/BE/0667_bdg_erw.kml" TargetMode="External"/><Relationship Id="rId997" Type="http://schemas.openxmlformats.org/officeDocument/2006/relationships/hyperlink" Target="https://map.geo.admin.ch/?zoom=13&amp;E=2622487.645&amp;N=1206286.307&amp;layers=ch.kantone.cadastralwebmap-farbe,ch.swisstopo.amtliches-strassenverzeichnis,ch.bfs.gebaeude_wohnungs_register,KML||https://tinyurl.com/yy7ya4g9/BE/0955_bdg_erw.kml" TargetMode="External"/><Relationship Id="rId191" Type="http://schemas.openxmlformats.org/officeDocument/2006/relationships/hyperlink" Target="https://map.geo.admin.ch/?zoom=13&amp;E=2585274.85&amp;N=1222757.253&amp;layers=ch.kantone.cadastralwebmap-farbe,ch.swisstopo.amtliches-strassenverzeichnis,ch.bfs.gebaeude_wohnungs_register,KML||https://tinyurl.com/yy7ya4g9/BE/0372_bdg_erw.kml" TargetMode="External"/><Relationship Id="rId205" Type="http://schemas.openxmlformats.org/officeDocument/2006/relationships/hyperlink" Target="https://map.geo.admin.ch/?zoom=13&amp;E=2600703&amp;N=1224934.25&amp;layers=ch.kantone.cadastralwebmap-farbe,ch.swisstopo.amtliches-strassenverzeichnis,ch.bfs.gebaeude_wohnungs_register,KML||https://tinyurl.com/yy7ya4g9/BE/0388_bdg_erw.kml" TargetMode="External"/><Relationship Id="rId412" Type="http://schemas.openxmlformats.org/officeDocument/2006/relationships/hyperlink" Target="https://map.geo.admin.ch/?zoom=13&amp;E=2617063&amp;N=1164514&amp;layers=ch.kantone.cadastralwebmap-farbe,ch.swisstopo.amtliches-strassenverzeichnis,ch.bfs.gebaeude_wohnungs_register,KML||https://tinyurl.com/yy7ya4g9/BE/0567_bdg_erw.kml" TargetMode="External"/><Relationship Id="rId857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1042" Type="http://schemas.openxmlformats.org/officeDocument/2006/relationships/hyperlink" Target="https://map.geo.admin.ch/?zoom=13&amp;E=2625544.874&amp;N=1217445.147&amp;layers=ch.kantone.cadastralwebmap-farbe,ch.swisstopo.amtliches-strassenverzeichnis,ch.bfs.gebaeude_wohnungs_register,KML||https://tinyurl.com/yy7ya4g9/BE/0959_bdg_erw.kml" TargetMode="External"/><Relationship Id="rId289" Type="http://schemas.openxmlformats.org/officeDocument/2006/relationships/hyperlink" Target="https://map.geo.admin.ch/?zoom=13&amp;E=2566509.562&amp;N=1222365.625&amp;layers=ch.kantone.cadastralwebmap-farbe,ch.swisstopo.amtliches-strassenverzeichnis,ch.bfs.gebaeude_wohnungs_register,KML||https://tinyurl.com/yy7ya4g9/BE/0443_bdg_erw.kml" TargetMode="External"/><Relationship Id="rId496" Type="http://schemas.openxmlformats.org/officeDocument/2006/relationships/hyperlink" Target="https://map.geo.admin.ch/?zoom=13&amp;E=2611034.878&amp;N=1184555.605&amp;layers=ch.kantone.cadastralwebmap-farbe,ch.swisstopo.amtliches-strassenverzeichnis,ch.bfs.gebaeude_wohnungs_register,KML||https://tinyurl.com/yy7ya4g9/BE/0611_bdg_erw.kml" TargetMode="External"/><Relationship Id="rId717" Type="http://schemas.openxmlformats.org/officeDocument/2006/relationships/hyperlink" Target="https://map.geo.admin.ch/?zoom=13&amp;E=2602632&amp;N=1195877&amp;layers=ch.kantone.cadastralwebmap-farbe,ch.swisstopo.amtliches-strassenverzeichnis,ch.bfs.gebaeude_wohnungs_register,KML||https://tinyurl.com/yy7ya4g9/BE/0870_bdg_erw.kml" TargetMode="External"/><Relationship Id="rId924" Type="http://schemas.openxmlformats.org/officeDocument/2006/relationships/hyperlink" Target="https://map.geo.admin.ch/?zoom=13&amp;E=2619905.25&amp;N=1173941.875&amp;layers=ch.kantone.cadastralwebmap-farbe,ch.swisstopo.amtliches-strassenverzeichnis,ch.bfs.gebaeude_wohnungs_register,KML||https://tinyurl.com/yy7ya4g9/BE/0938_bdg_erw.kml" TargetMode="External"/><Relationship Id="rId53" Type="http://schemas.openxmlformats.org/officeDocument/2006/relationships/hyperlink" Target="https://map.geo.admin.ch/?zoom=13&amp;E=2633357&amp;N=1220320.5&amp;layers=ch.kantone.cadastralwebmap-farbe,ch.swisstopo.amtliches-strassenverzeichnis,ch.bfs.gebaeude_wohnungs_register,KML||https://tinyurl.com/yy7ya4g9/BE/0326_bdg_erw.kml" TargetMode="External"/><Relationship Id="rId149" Type="http://schemas.openxmlformats.org/officeDocument/2006/relationships/hyperlink" Target="https://map.geo.admin.ch/?zoom=13&amp;E=2603563.85&amp;N=1200708.79&amp;layers=ch.kantone.cadastralwebmap-farbe,ch.swisstopo.amtliches-strassenverzeichnis,ch.bfs.gebaeude_wohnungs_register,KML||https://tinyurl.com/yy7ya4g9/BE/0363_bdg_erw.kml" TargetMode="External"/><Relationship Id="rId356" Type="http://schemas.openxmlformats.org/officeDocument/2006/relationships/hyperlink" Target="https://map.geo.admin.ch/?zoom=13&amp;E=2613698&amp;N=1156744&amp;layers=ch.kantone.cadastralwebmap-farbe,ch.swisstopo.amtliches-strassenverzeichnis,ch.bfs.gebaeude_wohnungs_register,KML||https://tinyurl.com/yy7ya4g9/BE/0563_bdg_erw.kml" TargetMode="External"/><Relationship Id="rId563" Type="http://schemas.openxmlformats.org/officeDocument/2006/relationships/hyperlink" Target="https://map.geo.admin.ch/?zoom=13&amp;E=2574788.861&amp;N=1220273.777&amp;layers=ch.kantone.cadastralwebmap-farbe,ch.swisstopo.amtliches-strassenverzeichnis,ch.bfs.gebaeude_wohnungs_register,KML||https://tinyurl.com/yy7ya4g9/BE/0724_bdg_erw.kml" TargetMode="External"/><Relationship Id="rId770" Type="http://schemas.openxmlformats.org/officeDocument/2006/relationships/hyperlink" Target="https://map.geo.admin.ch/?zoom=13&amp;E=2603568&amp;N=1184620&amp;layers=ch.kantone.cadastralwebmap-farbe,ch.swisstopo.amtliches-strassenverzeichnis,ch.bfs.gebaeude_wohnungs_register,KML||https://tinyurl.com/yy7ya4g9/BE/0879_bdg_erw.kml" TargetMode="External"/><Relationship Id="rId216" Type="http://schemas.openxmlformats.org/officeDocument/2006/relationships/hyperlink" Target="https://map.geo.admin.ch/?zoom=13&amp;E=2592103&amp;N=1225146&amp;layers=ch.kantone.cadastralwebmap-farbe,ch.swisstopo.amtliches-strassenverzeichnis,ch.bfs.gebaeude_wohnungs_register,KML||https://tinyurl.com/yy7ya4g9/BE/0392_bdg_erw.kml" TargetMode="External"/><Relationship Id="rId423" Type="http://schemas.openxmlformats.org/officeDocument/2006/relationships/hyperlink" Target="https://map.geo.admin.ch/?zoom=13&amp;E=2620610&amp;N=1164270&amp;layers=ch.kantone.cadastralwebmap-farbe,ch.swisstopo.amtliches-strassenverzeichnis,ch.bfs.gebaeude_wohnungs_register,KML||https://tinyurl.com/yy7ya4g9/BE/0567_bdg_erw.kml" TargetMode="External"/><Relationship Id="rId868" Type="http://schemas.openxmlformats.org/officeDocument/2006/relationships/hyperlink" Target="https://map.geo.admin.ch/?zoom=13&amp;E=2628479.49&amp;N=1199635.5&amp;layers=ch.kantone.cadastralwebmap-farbe,ch.swisstopo.amtliches-strassenverzeichnis,ch.bfs.gebaeude_wohnungs_register,KML||https://tinyurl.com/yy7ya4g9/BE/0902_bdg_erw.kml" TargetMode="External"/><Relationship Id="rId1053" Type="http://schemas.openxmlformats.org/officeDocument/2006/relationships/hyperlink" Target="https://map.geo.admin.ch/?zoom=13&amp;E=2625636.996&amp;N=1218114.411&amp;layers=ch.kantone.cadastralwebmap-farbe,ch.swisstopo.amtliches-strassenverzeichnis,ch.bfs.gebaeude_wohnungs_register,KML||https://tinyurl.com/yy7ya4g9/BE/0959_bdg_erw.kml" TargetMode="External"/><Relationship Id="rId630" Type="http://schemas.openxmlformats.org/officeDocument/2006/relationships/hyperlink" Target="https://map.geo.admin.ch/?zoom=13&amp;E=2607200&amp;N=1161674&amp;layers=ch.kantone.cadastralwebmap-farbe,ch.swisstopo.amtliches-strassenverzeichnis,ch.bfs.gebaeude_wohnungs_register,KML||https://tinyurl.com/yy7ya4g9/BE/0762_bdg_erw.kml" TargetMode="External"/><Relationship Id="rId728" Type="http://schemas.openxmlformats.org/officeDocument/2006/relationships/hyperlink" Target="https://map.geo.admin.ch/?zoom=13&amp;E=2606309&amp;N=1188070&amp;layers=ch.kantone.cadastralwebmap-farbe,ch.swisstopo.amtliches-strassenverzeichnis,ch.bfs.gebaeude_wohnungs_register,KML||https://tinyurl.com/yy7ya4g9/BE/0872_bdg_erw.kml" TargetMode="External"/><Relationship Id="rId935" Type="http://schemas.openxmlformats.org/officeDocument/2006/relationships/hyperlink" Target="https://map.geo.admin.ch/?zoom=13&amp;E=2614080&amp;N=1179320&amp;layers=ch.kantone.cadastralwebmap-farbe,ch.swisstopo.amtliches-strassenverzeichnis,ch.bfs.gebaeude_wohnungs_register,KML||https://tinyurl.com/yy7ya4g9/BE/0939_bdg_erw.kml" TargetMode="External"/><Relationship Id="rId64" Type="http://schemas.openxmlformats.org/officeDocument/2006/relationships/hyperlink" Target="https://map.geo.admin.ch/?zoom=13&amp;E=2627236.5&amp;N=1226969.5&amp;layers=ch.kantone.cadastralwebmap-farbe,ch.swisstopo.amtliches-strassenverzeichnis,ch.bfs.gebaeude_wohnungs_register,KML||https://tinyurl.com/yy7ya4g9/BE/0331_bdg_erw.kml" TargetMode="External"/><Relationship Id="rId367" Type="http://schemas.openxmlformats.org/officeDocument/2006/relationships/hyperlink" Target="https://map.geo.admin.ch/?zoom=13&amp;E=2612105&amp;N=1152988.375&amp;layers=ch.kantone.cadastralwebmap-farbe,ch.swisstopo.amtliches-strassenverzeichnis,ch.bfs.gebaeude_wohnungs_register,KML||https://tinyurl.com/yy7ya4g9/BE/0563_bdg_erw.kml" TargetMode="External"/><Relationship Id="rId574" Type="http://schemas.openxmlformats.org/officeDocument/2006/relationships/hyperlink" Target="https://map.geo.admin.ch/?zoom=13&amp;E=2588064.5&amp;N=1218451.75&amp;layers=ch.kantone.cadastralwebmap-farbe,ch.swisstopo.amtliches-strassenverzeichnis,ch.bfs.gebaeude_wohnungs_register,KML||https://tinyurl.com/yy7ya4g9/BE/0731_bdg_erw.kml" TargetMode="External"/><Relationship Id="rId1120" Type="http://schemas.openxmlformats.org/officeDocument/2006/relationships/hyperlink" Target="https://map.geo.admin.ch/?zoom=13&amp;E=2617988.75&amp;N=1231036.125&amp;layers=ch.kantone.cadastralwebmap-farbe,ch.swisstopo.amtliches-strassenverzeichnis,ch.bfs.gebaeude_wohnungs_register,KML||https://tinyurl.com/yy7ya4g9/BE/0991_bdg_erw.kml" TargetMode="External"/><Relationship Id="rId227" Type="http://schemas.openxmlformats.org/officeDocument/2006/relationships/hyperlink" Target="https://map.geo.admin.ch/?zoom=13&amp;E=2614266&amp;N=1212161&amp;layers=ch.kantone.cadastralwebmap-farbe,ch.swisstopo.amtliches-strassenverzeichnis,ch.bfs.gebaeude_wohnungs_register,KML||https://tinyurl.com/yy7ya4g9/BE/0404_bdg_erw.kml" TargetMode="External"/><Relationship Id="rId781" Type="http://schemas.openxmlformats.org/officeDocument/2006/relationships/hyperlink" Target="https://map.geo.admin.ch/?zoom=13&amp;E=2598303.823&amp;N=1185638.026&amp;layers=ch.kantone.cadastralwebmap-farbe,ch.swisstopo.amtliches-strassenverzeichnis,ch.bfs.gebaeude_wohnungs_register,KML||https://tinyurl.com/yy7ya4g9/BE/0880_bdg_erw.kml" TargetMode="External"/><Relationship Id="rId879" Type="http://schemas.openxmlformats.org/officeDocument/2006/relationships/hyperlink" Target="https://map.geo.admin.ch/?zoom=13&amp;E=2633787&amp;N=1199081.5&amp;layers=ch.kantone.cadastralwebmap-farbe,ch.swisstopo.amtliches-strassenverzeichnis,ch.bfs.gebaeude_wohnungs_register,KML||https://tinyurl.com/yy7ya4g9/BE/0908_bdg_erw.kml" TargetMode="External"/><Relationship Id="rId434" Type="http://schemas.openxmlformats.org/officeDocument/2006/relationships/hyperlink" Target="https://map.geo.admin.ch/?zoom=13&amp;E=2618894&amp;N=1161955&amp;layers=ch.kantone.cadastralwebmap-farbe,ch.swisstopo.amtliches-strassenverzeichnis,ch.bfs.gebaeude_wohnungs_register,KML||https://tinyurl.com/yy7ya4g9/BE/0567_bdg_erw.kml" TargetMode="External"/><Relationship Id="rId641" Type="http://schemas.openxmlformats.org/officeDocument/2006/relationships/hyperlink" Target="https://map.geo.admin.ch/?zoom=13&amp;E=2608876&amp;N=1167503.875&amp;layers=ch.kantone.cadastralwebmap-farbe,ch.swisstopo.amtliches-strassenverzeichnis,ch.bfs.gebaeude_wohnungs_register,KML||https://tinyurl.com/yy7ya4g9/BE/0763_bdg_erw.kml" TargetMode="External"/><Relationship Id="rId739" Type="http://schemas.openxmlformats.org/officeDocument/2006/relationships/hyperlink" Target="https://map.geo.admin.ch/?zoom=13&amp;E=2601026&amp;N=1189008.25&amp;layers=ch.kantone.cadastralwebmap-farbe,ch.swisstopo.amtliches-strassenverzeichnis,ch.bfs.gebaeude_wohnungs_register,KML||https://tinyurl.com/yy7ya4g9/BE/0877_bdg_erw.kml" TargetMode="External"/><Relationship Id="rId1064" Type="http://schemas.openxmlformats.org/officeDocument/2006/relationships/hyperlink" Target="https://map.geo.admin.ch/?zoom=13&amp;E=2624489.58&amp;N=1215988.496&amp;layers=ch.kantone.cadastralwebmap-farbe,ch.swisstopo.amtliches-strassenverzeichnis,ch.bfs.gebaeude_wohnungs_register,KML||https://tinyurl.com/yy7ya4g9/BE/0959_bdg_erw.kml" TargetMode="External"/><Relationship Id="rId280" Type="http://schemas.openxmlformats.org/officeDocument/2006/relationships/hyperlink" Target="https://map.geo.admin.ch/?zoom=13&amp;E=2613265&amp;N=1221549&amp;layers=ch.kantone.cadastralwebmap-farbe,ch.swisstopo.amtliches-strassenverzeichnis,ch.bfs.gebaeude_wohnungs_register,KML||https://tinyurl.com/yy7ya4g9/BE/0423_bdg_erw.kml" TargetMode="External"/><Relationship Id="rId501" Type="http://schemas.openxmlformats.org/officeDocument/2006/relationships/hyperlink" Target="https://map.geo.admin.ch/?zoom=13&amp;E=2609322&amp;N=1191628&amp;layers=ch.kantone.cadastralwebmap-farbe,ch.swisstopo.amtliches-strassenverzeichnis,ch.bfs.gebaeude_wohnungs_register,KML||https://tinyurl.com/yy7ya4g9/BE/0616_bdg_erw.kml" TargetMode="External"/><Relationship Id="rId946" Type="http://schemas.openxmlformats.org/officeDocument/2006/relationships/hyperlink" Target="https://map.geo.admin.ch/?zoom=13&amp;E=2615223.598&amp;N=1179520.053&amp;layers=ch.kantone.cadastralwebmap-farbe,ch.swisstopo.amtliches-strassenverzeichnis,ch.bfs.gebaeude_wohnungs_register,KML||https://tinyurl.com/yy7ya4g9/BE/0939_bdg_erw.kml" TargetMode="External"/><Relationship Id="rId1131" Type="http://schemas.openxmlformats.org/officeDocument/2006/relationships/hyperlink" Target="https://map.geo.admin.ch/?zoom=13&amp;E=2615882.5&amp;N=1231420.375&amp;layers=ch.kantone.cadastralwebmap-farbe,ch.swisstopo.amtliches-strassenverzeichnis,ch.bfs.gebaeude_wohnungs_register,KML||https://tinyurl.com/yy7ya4g9/BE/0992_bdg_erw.kml" TargetMode="External"/><Relationship Id="rId75" Type="http://schemas.openxmlformats.org/officeDocument/2006/relationships/hyperlink" Target="https://map.geo.admin.ch/?zoom=13&amp;E=2630822.5&amp;N=1223921&amp;layers=ch.kantone.cadastralwebmap-farbe,ch.swisstopo.amtliches-strassenverzeichnis,ch.bfs.gebaeude_wohnungs_register,KML||https://tinyurl.com/yy7ya4g9/BE/0336_bdg_erw.kml" TargetMode="External"/><Relationship Id="rId140" Type="http://schemas.openxmlformats.org/officeDocument/2006/relationships/hyperlink" Target="https://map.geo.admin.ch/?zoom=13&amp;E=2589530.147&amp;N=1202259.388&amp;layers=ch.kantone.cadastralwebmap-farbe,ch.swisstopo.amtliches-strassenverzeichnis,ch.bfs.gebaeude_wohnungs_register,KML||https://tinyurl.com/yy7ya4g9/BE/0360_bdg_erw.kml" TargetMode="External"/><Relationship Id="rId378" Type="http://schemas.openxmlformats.org/officeDocument/2006/relationships/hyperlink" Target="https://map.geo.admin.ch/?zoom=13&amp;E=2611393&amp;N=1152732.125&amp;layers=ch.kantone.cadastralwebmap-farbe,ch.swisstopo.amtliches-strassenverzeichnis,ch.bfs.gebaeude_wohnungs_register,KML||https://tinyurl.com/yy7ya4g9/BE/0563_bdg_erw.kml" TargetMode="External"/><Relationship Id="rId585" Type="http://schemas.openxmlformats.org/officeDocument/2006/relationships/hyperlink" Target="https://map.geo.admin.ch/?zoom=13&amp;E=2584646.6&amp;N=1218258.9&amp;layers=ch.kantone.cadastralwebmap-farbe,ch.swisstopo.amtliches-strassenverzeichnis,ch.bfs.gebaeude_wohnungs_register,KML||https://tinyurl.com/yy7ya4g9/BE/0739_bdg_erw.kml" TargetMode="External"/><Relationship Id="rId792" Type="http://schemas.openxmlformats.org/officeDocument/2006/relationships/hyperlink" Target="https://map.geo.admin.ch/?zoom=13&amp;E=2606641&amp;N=1181931&amp;layers=ch.kantone.cadastralwebmap-farbe,ch.swisstopo.amtliches-strassenverzeichnis,ch.bfs.gebaeude_wohnungs_register,KML||https://tinyurl.com/yy7ya4g9/BE/0883_bdg_erw.kml" TargetMode="External"/><Relationship Id="rId806" Type="http://schemas.openxmlformats.org/officeDocument/2006/relationships/hyperlink" Target="https://map.geo.admin.ch/?zoom=13&amp;E=2605620&amp;N=1178180&amp;layers=ch.kantone.cadastralwebmap-farbe,ch.swisstopo.amtliches-strassenverzeichnis,ch.bfs.gebaeude_wohnungs_register,KML||https://tinyurl.com/yy7ya4g9/BE/0886_bdg_erw.kml" TargetMode="External"/><Relationship Id="rId6" Type="http://schemas.openxmlformats.org/officeDocument/2006/relationships/hyperlink" Target="https://map.geo.admin.ch/?zoom=13&amp;E=2588281&amp;N=1211123&amp;layers=ch.kantone.cadastralwebmap-farbe,ch.swisstopo.amtliches-strassenverzeichnis,ch.bfs.gebaeude_wohnungs_register,KML||https://tinyurl.com/yy7ya4g9/BE/0301_bdg_erw.kml" TargetMode="External"/><Relationship Id="rId238" Type="http://schemas.openxmlformats.org/officeDocument/2006/relationships/hyperlink" Target="https://map.geo.admin.ch/?zoom=13&amp;E=2614392.953&amp;N=1212477.958&amp;layers=ch.kantone.cadastralwebmap-farbe,ch.swisstopo.amtliches-strassenverzeichnis,ch.bfs.gebaeude_wohnungs_register,KML||https://tinyurl.com/yy7ya4g9/BE/0404_bdg_erw.kml" TargetMode="External"/><Relationship Id="rId445" Type="http://schemas.openxmlformats.org/officeDocument/2006/relationships/hyperlink" Target="https://map.geo.admin.ch/?zoom=13&amp;E=2645131&amp;N=1178663&amp;layers=ch.kantone.cadastralwebmap-farbe,ch.swisstopo.amtliches-strassenverzeichnis,ch.bfs.gebaeude_wohnungs_register,KML||https://tinyurl.com/yy7ya4g9/BE/0573_bdg_erw.kml" TargetMode="External"/><Relationship Id="rId652" Type="http://schemas.openxmlformats.org/officeDocument/2006/relationships/hyperlink" Target="https://map.geo.admin.ch/?zoom=13&amp;E=2611284&amp;N=1172993&amp;layers=ch.kantone.cadastralwebmap-farbe,ch.swisstopo.amtliches-strassenverzeichnis,ch.bfs.gebaeude_wohnungs_register,KML||https://tinyurl.com/yy7ya4g9/BE/0770_bdg_erw.kml" TargetMode="External"/><Relationship Id="rId1075" Type="http://schemas.openxmlformats.org/officeDocument/2006/relationships/hyperlink" Target="https://map.geo.admin.ch/?zoom=13&amp;E=2617392.765&amp;N=1227889.066&amp;layers=ch.kantone.cadastralwebmap-farbe,ch.swisstopo.amtliches-strassenverzeichnis,ch.bfs.gebaeude_wohnungs_register,KML||https://tinyurl.com/yy7ya4g9/BE/0980_bdg_erw.kml" TargetMode="External"/><Relationship Id="rId291" Type="http://schemas.openxmlformats.org/officeDocument/2006/relationships/hyperlink" Target="https://map.geo.admin.ch/?zoom=13&amp;E=2565942.525&amp;N=1222081.891&amp;layers=ch.kantone.cadastralwebmap-farbe,ch.swisstopo.amtliches-strassenverzeichnis,ch.bfs.gebaeude_wohnungs_register,KML||https://tinyurl.com/yy7ya4g9/BE/0443_bdg_erw.kml" TargetMode="External"/><Relationship Id="rId305" Type="http://schemas.openxmlformats.org/officeDocument/2006/relationships/hyperlink" Target="https://map.geo.admin.ch/?zoom=13&amp;E=2579246.775&amp;N=1206612.175&amp;layers=ch.kantone.cadastralwebmap-farbe,ch.swisstopo.amtliches-strassenverzeichnis,ch.bfs.gebaeude_wohnungs_register,KML||https://tinyurl.com/yy7ya4g9/BE/0500_bdg_erw.kml" TargetMode="External"/><Relationship Id="rId512" Type="http://schemas.openxmlformats.org/officeDocument/2006/relationships/hyperlink" Target="https://map.geo.admin.ch/?zoom=13&amp;E=2614803.121&amp;N=1187919.286&amp;layers=ch.kantone.cadastralwebmap-farbe,ch.swisstopo.amtliches-strassenverzeichnis,ch.bfs.gebaeude_wohnungs_register,KML||https://tinyurl.com/yy7ya4g9/BE/0619_bdg_erw.kml" TargetMode="External"/><Relationship Id="rId957" Type="http://schemas.openxmlformats.org/officeDocument/2006/relationships/hyperlink" Target="https://map.geo.admin.ch/?zoom=13&amp;E=2614198&amp;N=1175731&amp;layers=ch.kantone.cadastralwebmap-farbe,ch.swisstopo.amtliches-strassenverzeichnis,ch.bfs.gebaeude_wohnungs_register,KML||https://tinyurl.com/yy7ya4g9/BE/0942_bdg_erw.kml" TargetMode="External"/><Relationship Id="rId86" Type="http://schemas.openxmlformats.org/officeDocument/2006/relationships/hyperlink" Target="https://map.geo.admin.ch/?zoom=13&amp;E=2625094.434&amp;N=1224448.547&amp;layers=ch.kantone.cadastralwebmap-farbe,ch.swisstopo.amtliches-strassenverzeichnis,ch.bfs.gebaeude_wohnungs_register,KML||https://tinyurl.com/yy7ya4g9/BE/0340_bdg_erw.kml" TargetMode="External"/><Relationship Id="rId151" Type="http://schemas.openxmlformats.org/officeDocument/2006/relationships/hyperlink" Target="https://map.geo.admin.ch/?zoom=13&amp;E=2585917.505&amp;N=1220583.127&amp;layers=ch.kantone.cadastralwebmap-farbe,ch.swisstopo.amtliches-strassenverzeichnis,ch.bfs.gebaeude_wohnungs_register,KML||https://tinyurl.com/yy7ya4g9/BE/0371_bdg_erw.kml" TargetMode="External"/><Relationship Id="rId389" Type="http://schemas.openxmlformats.org/officeDocument/2006/relationships/hyperlink" Target="https://map.geo.admin.ch/?zoom=13&amp;E=2616256&amp;N=1145187&amp;layers=ch.kantone.cadastralwebmap-farbe,ch.swisstopo.amtliches-strassenverzeichnis,ch.bfs.gebaeude_wohnungs_register,KML||https://tinyurl.com/yy7ya4g9/BE/0565_bdg_erw.kml" TargetMode="External"/><Relationship Id="rId596" Type="http://schemas.openxmlformats.org/officeDocument/2006/relationships/hyperlink" Target="https://map.geo.admin.ch/?zoom=13&amp;E=2590346.598&amp;N=1222441.587&amp;layers=ch.kantone.cadastralwebmap-farbe,ch.swisstopo.amtliches-strassenverzeichnis,ch.bfs.gebaeude_wohnungs_register,KML||https://tinyurl.com/yy7ya4g9/BE/0746_bdg_erw.kml" TargetMode="External"/><Relationship Id="rId817" Type="http://schemas.openxmlformats.org/officeDocument/2006/relationships/hyperlink" Target="https://map.geo.admin.ch/?zoom=13&amp;E=2605611&amp;N=1178391&amp;layers=ch.kantone.cadastralwebmap-farbe,ch.swisstopo.amtliches-strassenverzeichnis,ch.bfs.gebaeude_wohnungs_register,KML||https://tinyurl.com/yy7ya4g9/BE/0886_bdg_erw.kml" TargetMode="External"/><Relationship Id="rId1002" Type="http://schemas.openxmlformats.org/officeDocument/2006/relationships/hyperlink" Target="https://map.geo.admin.ch/?zoom=13&amp;E=2618767.75&amp;N=1205785.75&amp;layers=ch.kantone.cadastralwebmap-farbe,ch.swisstopo.amtliches-strassenverzeichnis,ch.bfs.gebaeude_wohnungs_register,KML||https://tinyurl.com/yy7ya4g9/BE/0955_bdg_erw.kml" TargetMode="External"/><Relationship Id="rId249" Type="http://schemas.openxmlformats.org/officeDocument/2006/relationships/hyperlink" Target="https://map.geo.admin.ch/?zoom=13&amp;E=2620394&amp;N=1213343.5&amp;layers=ch.kantone.cadastralwebmap-farbe,ch.swisstopo.amtliches-strassenverzeichnis,ch.bfs.gebaeude_wohnungs_register,KML||https://tinyurl.com/yy7ya4g9/BE/0407_bdg_erw.kml" TargetMode="External"/><Relationship Id="rId456" Type="http://schemas.openxmlformats.org/officeDocument/2006/relationships/hyperlink" Target="https://map.geo.admin.ch/?zoom=13&amp;E=2634941.15&amp;N=1168086.747&amp;layers=ch.kantone.cadastralwebmap-farbe,ch.swisstopo.amtliches-strassenverzeichnis,ch.bfs.gebaeude_wohnungs_register,KML||https://tinyurl.com/yy7ya4g9/BE/0577_bdg_erw.kml" TargetMode="External"/><Relationship Id="rId663" Type="http://schemas.openxmlformats.org/officeDocument/2006/relationships/hyperlink" Target="https://map.geo.admin.ch/?zoom=13&amp;E=2597509.32&amp;N=1150186.171&amp;layers=ch.kantone.cadastralwebmap-farbe,ch.swisstopo.amtliches-strassenverzeichnis,ch.bfs.gebaeude_wohnungs_register,KML||https://tinyurl.com/yy7ya4g9/BE/0793_bdg_erw.kml" TargetMode="External"/><Relationship Id="rId870" Type="http://schemas.openxmlformats.org/officeDocument/2006/relationships/hyperlink" Target="https://map.geo.admin.ch/?zoom=13&amp;E=2626646.34&amp;N=1198885.985&amp;layers=ch.kantone.cadastralwebmap-farbe,ch.swisstopo.amtliches-strassenverzeichnis,ch.bfs.gebaeude_wohnungs_register,KML||https://tinyurl.com/yy7ya4g9/BE/0902_bdg_erw.kml" TargetMode="External"/><Relationship Id="rId1086" Type="http://schemas.openxmlformats.org/officeDocument/2006/relationships/hyperlink" Target="https://map.geo.admin.ch/?zoom=13&amp;E=2618827&amp;N=1230725.125&amp;layers=ch.kantone.cadastralwebmap-farbe,ch.swisstopo.amtliches-strassenverzeichnis,ch.bfs.gebaeude_wohnungs_register,KML||https://tinyurl.com/yy7ya4g9/BE/0991_bdg_erw.kml" TargetMode="External"/><Relationship Id="rId13" Type="http://schemas.openxmlformats.org/officeDocument/2006/relationships/hyperlink" Target="https://map.geo.admin.ch/?zoom=13&amp;E=2587841.75&amp;N=1215135.625&amp;layers=ch.kantone.cadastralwebmap-farbe,ch.swisstopo.amtliches-strassenverzeichnis,ch.bfs.gebaeude_wohnungs_register,KML||https://tinyurl.com/yy7ya4g9/BE/0305_bdg_erw.kml" TargetMode="External"/><Relationship Id="rId109" Type="http://schemas.openxmlformats.org/officeDocument/2006/relationships/hyperlink" Target="https://map.geo.admin.ch/?zoom=13&amp;E=2602086.905&amp;N=1198923.559&amp;layers=ch.kantone.cadastralwebmap-farbe,ch.swisstopo.amtliches-strassenverzeichnis,ch.bfs.gebaeude_wohnungs_register,KML||https://tinyurl.com/yy7ya4g9/BE/0351_bdg_erw.kml" TargetMode="External"/><Relationship Id="rId316" Type="http://schemas.openxmlformats.org/officeDocument/2006/relationships/hyperlink" Target="https://map.geo.admin.ch/?zoom=13&amp;E=2605686&amp;N=1211262&amp;layers=ch.kantone.cadastralwebmap-farbe,ch.swisstopo.amtliches-strassenverzeichnis,ch.bfs.gebaeude_wohnungs_register,KML||https://tinyurl.com/yy7ya4g9/BE/0540_bdg_erw.kml" TargetMode="External"/><Relationship Id="rId523" Type="http://schemas.openxmlformats.org/officeDocument/2006/relationships/hyperlink" Target="https://map.geo.admin.ch/?zoom=13&amp;E=2607907.121&amp;N=1197430.985&amp;layers=ch.kantone.cadastralwebmap-farbe,ch.swisstopo.amtliches-strassenverzeichnis,ch.bfs.gebaeude_wohnungs_register,KML||https://tinyurl.com/yy7ya4g9/BE/0627_bdg_erw.kml" TargetMode="External"/><Relationship Id="rId968" Type="http://schemas.openxmlformats.org/officeDocument/2006/relationships/hyperlink" Target="https://map.geo.admin.ch/?zoom=13&amp;E=2614540.178&amp;N=1178288.246&amp;layers=ch.kantone.cadastralwebmap-farbe,ch.swisstopo.amtliches-strassenverzeichnis,ch.bfs.gebaeude_wohnungs_register,KML||https://tinyurl.com/yy7ya4g9/BE/0942_bdg_erw.kml" TargetMode="External"/><Relationship Id="rId97" Type="http://schemas.openxmlformats.org/officeDocument/2006/relationships/hyperlink" Target="https://map.geo.admin.ch/?zoom=13&amp;E=2628928&amp;N=1233927&amp;layers=ch.kantone.cadastralwebmap-farbe,ch.swisstopo.amtliches-strassenverzeichnis,ch.bfs.gebaeude_wohnungs_register,KML||https://tinyurl.com/yy7ya4g9/BE/0345_bdg_erw.kml" TargetMode="External"/><Relationship Id="rId730" Type="http://schemas.openxmlformats.org/officeDocument/2006/relationships/hyperlink" Target="https://map.geo.admin.ch/?zoom=13&amp;E=2606311&amp;N=1188584&amp;layers=ch.kantone.cadastralwebmap-farbe,ch.swisstopo.amtliches-strassenverzeichnis,ch.bfs.gebaeude_wohnungs_register,KML||https://tinyurl.com/yy7ya4g9/BE/0872_bdg_erw.kml" TargetMode="External"/><Relationship Id="rId828" Type="http://schemas.openxmlformats.org/officeDocument/2006/relationships/hyperlink" Target="https://map.geo.admin.ch/?zoom=13&amp;E=2605238&amp;N=1179156&amp;layers=ch.kantone.cadastralwebmap-farbe,ch.swisstopo.amtliches-strassenverzeichnis,ch.bfs.gebaeude_wohnungs_register,KML||https://tinyurl.com/yy7ya4g9/BE/0886_bdg_erw.kml" TargetMode="External"/><Relationship Id="rId1013" Type="http://schemas.openxmlformats.org/officeDocument/2006/relationships/hyperlink" Target="https://map.geo.admin.ch/?zoom=13&amp;E=2616455.75&amp;N=1207662.625&amp;layers=ch.kantone.cadastralwebmap-farbe,ch.swisstopo.amtliches-strassenverzeichnis,ch.bfs.gebaeude_wohnungs_register,KML||https://tinyurl.com/yy7ya4g9/BE/0956_bdg_erw.kml" TargetMode="External"/><Relationship Id="rId162" Type="http://schemas.openxmlformats.org/officeDocument/2006/relationships/hyperlink" Target="https://map.geo.admin.ch/?zoom=13&amp;E=2588340.937&amp;N=1223373.142&amp;layers=ch.kantone.cadastralwebmap-farbe,ch.swisstopo.amtliches-strassenverzeichnis,ch.bfs.gebaeude_wohnungs_register,KML||https://tinyurl.com/yy7ya4g9/BE/0371_bdg_erw.kml" TargetMode="External"/><Relationship Id="rId467" Type="http://schemas.openxmlformats.org/officeDocument/2006/relationships/hyperlink" Target="https://map.geo.admin.ch/?zoom=13&amp;E=2639216&amp;N=1166209&amp;layers=ch.kantone.cadastralwebmap-farbe,ch.swisstopo.amtliches-strassenverzeichnis,ch.bfs.gebaeude_wohnungs_register,KML||https://tinyurl.com/yy7ya4g9/BE/0586_bdg_erw.kml" TargetMode="External"/><Relationship Id="rId1097" Type="http://schemas.openxmlformats.org/officeDocument/2006/relationships/hyperlink" Target="https://map.geo.admin.ch/?zoom=13&amp;E=2618707&amp;N=1230984.125&amp;layers=ch.kantone.cadastralwebmap-farbe,ch.swisstopo.amtliches-strassenverzeichnis,ch.bfs.gebaeude_wohnungs_register,KML||https://tinyurl.com/yy7ya4g9/BE/0991_bdg_erw.kml" TargetMode="External"/><Relationship Id="rId674" Type="http://schemas.openxmlformats.org/officeDocument/2006/relationships/hyperlink" Target="https://map.geo.admin.ch/?zoom=13&amp;E=2588855&amp;N=1147073&amp;layers=ch.kantone.cadastralwebmap-farbe,ch.swisstopo.amtliches-strassenverzeichnis,ch.bfs.gebaeude_wohnungs_register,KML||https://tinyurl.com/yy7ya4g9/BE/0843_bdg_erw.kml" TargetMode="External"/><Relationship Id="rId881" Type="http://schemas.openxmlformats.org/officeDocument/2006/relationships/hyperlink" Target="https://map.geo.admin.ch/?zoom=13&amp;E=2633917.5&amp;N=1199371.875&amp;layers=ch.kantone.cadastralwebmap-farbe,ch.swisstopo.amtliches-strassenverzeichnis,ch.bfs.gebaeude_wohnungs_register,KML||https://tinyurl.com/yy7ya4g9/BE/0908_bdg_erw.kml" TargetMode="External"/><Relationship Id="rId979" Type="http://schemas.openxmlformats.org/officeDocument/2006/relationships/hyperlink" Target="https://map.geo.admin.ch/?zoom=13&amp;E=2621133.5&amp;N=1182773&amp;layers=ch.kantone.cadastralwebmap-farbe,ch.swisstopo.amtliches-strassenverzeichnis,ch.bfs.gebaeude_wohnungs_register,KML||https://tinyurl.com/yy7ya4g9/BE/0945_bdg_erw.kml" TargetMode="External"/><Relationship Id="rId24" Type="http://schemas.openxmlformats.org/officeDocument/2006/relationships/hyperlink" Target="https://map.geo.admin.ch/?zoom=13&amp;E=2589254&amp;N=1213668&amp;layers=ch.kantone.cadastralwebmap-farbe,ch.swisstopo.amtliches-strassenverzeichnis,ch.bfs.gebaeude_wohnungs_register,KML||https://tinyurl.com/yy7ya4g9/BE/0306_bdg_erw.kml" TargetMode="External"/><Relationship Id="rId327" Type="http://schemas.openxmlformats.org/officeDocument/2006/relationships/hyperlink" Target="https://map.geo.admin.ch/?zoom=13&amp;E=2604375&amp;N=1208444&amp;layers=ch.kantone.cadastralwebmap-farbe,ch.swisstopo.amtliches-strassenverzeichnis,ch.bfs.gebaeude_wohnungs_register,KML||https://tinyurl.com/yy7ya4g9/BE/0551_bdg_erw.kml" TargetMode="External"/><Relationship Id="rId534" Type="http://schemas.openxmlformats.org/officeDocument/2006/relationships/hyperlink" Target="https://map.geo.admin.ch/?zoom=13&amp;E=2609978&amp;N=1187229&amp;layers=ch.kantone.cadastralwebmap-farbe,ch.swisstopo.amtliches-strassenverzeichnis,ch.bfs.gebaeude_wohnungs_register,KML||https://tinyurl.com/yy7ya4g9/BE/0632_bdg_erw.kml" TargetMode="External"/><Relationship Id="rId741" Type="http://schemas.openxmlformats.org/officeDocument/2006/relationships/hyperlink" Target="https://map.geo.admin.ch/?zoom=13&amp;E=2601006&amp;N=1189083.625&amp;layers=ch.kantone.cadastralwebmap-farbe,ch.swisstopo.amtliches-strassenverzeichnis,ch.bfs.gebaeude_wohnungs_register,KML||https://tinyurl.com/yy7ya4g9/BE/0877_bdg_erw.kml" TargetMode="External"/><Relationship Id="rId839" Type="http://schemas.openxmlformats.org/officeDocument/2006/relationships/hyperlink" Target="https://map.geo.admin.ch/?zoom=13&amp;E=2605219&amp;N=1180615&amp;layers=ch.kantone.cadastralwebmap-farbe,ch.swisstopo.amtliches-strassenverzeichnis,ch.bfs.gebaeude_wohnungs_register,KML||https://tinyurl.com/yy7ya4g9/BE/0886_bdg_erw.kml" TargetMode="External"/><Relationship Id="rId173" Type="http://schemas.openxmlformats.org/officeDocument/2006/relationships/hyperlink" Target="https://map.geo.admin.ch/?zoom=13&amp;E=2588320.498&amp;N=1223098.161&amp;layers=ch.kantone.cadastralwebmap-farbe,ch.swisstopo.amtliches-strassenverzeichnis,ch.bfs.gebaeude_wohnungs_register,KML||https://tinyurl.com/yy7ya4g9/BE/0371_bdg_erw.kml" TargetMode="External"/><Relationship Id="rId380" Type="http://schemas.openxmlformats.org/officeDocument/2006/relationships/hyperlink" Target="https://map.geo.admin.ch/?zoom=13&amp;E=2610460.25&amp;N=1152859.625&amp;layers=ch.kantone.cadastralwebmap-farbe,ch.swisstopo.amtliches-strassenverzeichnis,ch.bfs.gebaeude_wohnungs_register,KML||https://tinyurl.com/yy7ya4g9/BE/0563_bdg_erw.kml" TargetMode="External"/><Relationship Id="rId601" Type="http://schemas.openxmlformats.org/officeDocument/2006/relationships/hyperlink" Target="https://map.geo.admin.ch/?zoom=13&amp;E=2590569.428&amp;N=1220469.873&amp;layers=ch.kantone.cadastralwebmap-farbe,ch.swisstopo.amtliches-strassenverzeichnis,ch.bfs.gebaeude_wohnungs_register,KML||https://tinyurl.com/yy7ya4g9/BE/0747_bdg_erw.kml" TargetMode="External"/><Relationship Id="rId1024" Type="http://schemas.openxmlformats.org/officeDocument/2006/relationships/hyperlink" Target="https://map.geo.admin.ch/?zoom=13&amp;E=2623616&amp;N=1208822&amp;layers=ch.kantone.cadastralwebmap-farbe,ch.swisstopo.amtliches-strassenverzeichnis,ch.bfs.gebaeude_wohnungs_register,KML||https://tinyurl.com/yy7ya4g9/BE/0957_bdg_erw.kml" TargetMode="External"/><Relationship Id="rId240" Type="http://schemas.openxmlformats.org/officeDocument/2006/relationships/hyperlink" Target="https://map.geo.admin.ch/?zoom=13&amp;E=2613562.594&amp;N=1211363.813&amp;layers=ch.kantone.cadastralwebmap-farbe,ch.swisstopo.amtliches-strassenverzeichnis,ch.bfs.gebaeude_wohnungs_register,KML||https://tinyurl.com/yy7ya4g9/BE/0404_bdg_erw.kml" TargetMode="External"/><Relationship Id="rId478" Type="http://schemas.openxmlformats.org/officeDocument/2006/relationships/hyperlink" Target="https://map.geo.admin.ch/?zoom=13&amp;E=2639167&amp;N=1175650.25&amp;layers=ch.kantone.cadastralwebmap-farbe,ch.swisstopo.amtliches-strassenverzeichnis,ch.bfs.gebaeude_wohnungs_register,KML||https://tinyurl.com/yy7ya4g9/BE/0589_bdg_erw.kml" TargetMode="External"/><Relationship Id="rId685" Type="http://schemas.openxmlformats.org/officeDocument/2006/relationships/hyperlink" Target="https://map.geo.admin.ch/?zoom=13&amp;E=2595024.701&amp;N=1180475.653&amp;layers=ch.kantone.cadastralwebmap-farbe,ch.swisstopo.amtliches-strassenverzeichnis,ch.bfs.gebaeude_wohnungs_register,KML||https://tinyurl.com/yy7ya4g9/BE/0853_bdg_erw.kml" TargetMode="External"/><Relationship Id="rId892" Type="http://schemas.openxmlformats.org/officeDocument/2006/relationships/hyperlink" Target="https://map.geo.admin.ch/?zoom=13&amp;E=2605870&amp;N=1176880&amp;layers=ch.kantone.cadastralwebmap-farbe,ch.swisstopo.amtliches-strassenverzeichnis,ch.bfs.gebaeude_wohnungs_register,KML||https://tinyurl.com/yy7ya4g9/BE/0922_bdg_erw.kml" TargetMode="External"/><Relationship Id="rId906" Type="http://schemas.openxmlformats.org/officeDocument/2006/relationships/hyperlink" Target="https://map.geo.admin.ch/?zoom=13&amp;E=2612614.126&amp;N=1181233.907&amp;layers=ch.kantone.cadastralwebmap-farbe,ch.swisstopo.amtliches-strassenverzeichnis,ch.bfs.gebaeude_wohnungs_register,KML||https://tinyurl.com/yy7ya4g9/BE/0928_bdg_erw.kml" TargetMode="External"/><Relationship Id="rId35" Type="http://schemas.openxmlformats.org/officeDocument/2006/relationships/hyperlink" Target="https://map.geo.admin.ch/?zoom=13&amp;E=2595429&amp;N=1206281&amp;layers=ch.kantone.cadastralwebmap-farbe,ch.swisstopo.amtliches-strassenverzeichnis,ch.bfs.gebaeude_wohnungs_register,KML||https://tinyurl.com/yy7ya4g9/BE/0307_bdg_erw.kml" TargetMode="External"/><Relationship Id="rId100" Type="http://schemas.openxmlformats.org/officeDocument/2006/relationships/hyperlink" Target="https://map.geo.admin.ch/?zoom=13&amp;E=2600866&amp;N=1200745&amp;layers=ch.kantone.cadastralwebmap-farbe,ch.swisstopo.amtliches-strassenverzeichnis,ch.bfs.gebaeude_wohnungs_register,KML||https://tinyurl.com/yy7ya4g9/BE/0351_bdg_erw.kml" TargetMode="External"/><Relationship Id="rId338" Type="http://schemas.openxmlformats.org/officeDocument/2006/relationships/hyperlink" Target="https://map.geo.admin.ch/?zoom=13&amp;E=2613723&amp;N=1156457&amp;layers=ch.kantone.cadastralwebmap-farbe,ch.swisstopo.amtliches-strassenverzeichnis,ch.bfs.gebaeude_wohnungs_register,KML||https://tinyurl.com/yy7ya4g9/BE/0563_bdg_erw.kml" TargetMode="External"/><Relationship Id="rId545" Type="http://schemas.openxmlformats.org/officeDocument/2006/relationships/hyperlink" Target="https://map.geo.admin.ch/?zoom=13&amp;E=2609873.575&amp;N=1187911.231&amp;layers=ch.kantone.cadastralwebmap-farbe,ch.swisstopo.amtliches-strassenverzeichnis,ch.bfs.gebaeude_wohnungs_register,KML||https://tinyurl.com/yy7ya4g9/BE/0632_bdg_erw.kml" TargetMode="External"/><Relationship Id="rId752" Type="http://schemas.openxmlformats.org/officeDocument/2006/relationships/hyperlink" Target="https://map.geo.admin.ch/?zoom=13&amp;E=2602148.5&amp;N=1189827.375&amp;layers=ch.kantone.cadastralwebmap-farbe,ch.swisstopo.amtliches-strassenverzeichnis,ch.bfs.gebaeude_wohnungs_register,KML||https://tinyurl.com/yy7ya4g9/BE/0877_bdg_erw.kml" TargetMode="External"/><Relationship Id="rId184" Type="http://schemas.openxmlformats.org/officeDocument/2006/relationships/hyperlink" Target="https://map.geo.admin.ch/?zoom=13&amp;E=2586718.635&amp;N=1220720.676&amp;layers=ch.kantone.cadastralwebmap-farbe,ch.swisstopo.amtliches-strassenverzeichnis,ch.bfs.gebaeude_wohnungs_register,KML||https://tinyurl.com/yy7ya4g9/BE/0371_bdg_erw.kml" TargetMode="External"/><Relationship Id="rId391" Type="http://schemas.openxmlformats.org/officeDocument/2006/relationships/hyperlink" Target="https://map.geo.admin.ch/?zoom=13&amp;E=2621937&amp;N=1164769&amp;layers=ch.kantone.cadastralwebmap-farbe,ch.swisstopo.amtliches-strassenverzeichnis,ch.bfs.gebaeude_wohnungs_register,KML||https://tinyurl.com/yy7ya4g9/BE/0567_bdg_erw.kml" TargetMode="External"/><Relationship Id="rId405" Type="http://schemas.openxmlformats.org/officeDocument/2006/relationships/hyperlink" Target="https://map.geo.admin.ch/?zoom=13&amp;E=2625806&amp;N=1157448&amp;layers=ch.kantone.cadastralwebmap-farbe,ch.swisstopo.amtliches-strassenverzeichnis,ch.bfs.gebaeude_wohnungs_register,KML||https://tinyurl.com/yy7ya4g9/BE/0567_bdg_erw.kml" TargetMode="External"/><Relationship Id="rId612" Type="http://schemas.openxmlformats.org/officeDocument/2006/relationships/hyperlink" Target="https://map.geo.admin.ch/?zoom=13&amp;E=2581683.5&amp;N=1212579.125&amp;layers=ch.kantone.cadastralwebmap-farbe,ch.swisstopo.amtliches-strassenverzeichnis,ch.bfs.gebaeude_wohnungs_register,KML||https://tinyurl.com/yy7ya4g9/BE/0751_bdg_erw.kml" TargetMode="External"/><Relationship Id="rId1035" Type="http://schemas.openxmlformats.org/officeDocument/2006/relationships/hyperlink" Target="https://map.geo.admin.ch/?zoom=13&amp;E=2625990.982&amp;N=1218805.923&amp;layers=ch.kantone.cadastralwebmap-farbe,ch.swisstopo.amtliches-strassenverzeichnis,ch.bfs.gebaeude_wohnungs_register,KML||https://tinyurl.com/yy7ya4g9/BE/0959_bdg_erw.kml" TargetMode="External"/><Relationship Id="rId251" Type="http://schemas.openxmlformats.org/officeDocument/2006/relationships/hyperlink" Target="https://map.geo.admin.ch/?zoom=13&amp;E=2616024.5&amp;N=1221699.25&amp;layers=ch.kantone.cadastralwebmap-farbe,ch.swisstopo.amtliches-strassenverzeichnis,ch.bfs.gebaeude_wohnungs_register,KML||https://tinyurl.com/yy7ya4g9/BE/0408_bdg_erw.kml" TargetMode="External"/><Relationship Id="rId489" Type="http://schemas.openxmlformats.org/officeDocument/2006/relationships/hyperlink" Target="https://map.geo.admin.ch/?zoom=13&amp;E=2633043.632&amp;N=1169129.085&amp;layers=ch.kantone.cadastralwebmap-farbe,ch.swisstopo.amtliches-strassenverzeichnis,ch.bfs.gebaeude_wohnungs_register,KML||https://tinyurl.com/yy7ya4g9/BE/0594_bdg_erw.kml" TargetMode="External"/><Relationship Id="rId696" Type="http://schemas.openxmlformats.org/officeDocument/2006/relationships/hyperlink" Target="https://map.geo.admin.ch/?zoom=13&amp;E=2592925&amp;N=1185245&amp;layers=ch.kantone.cadastralwebmap-farbe,ch.swisstopo.amtliches-strassenverzeichnis,ch.bfs.gebaeude_wohnungs_register,KML||https://tinyurl.com/yy7ya4g9/BE/0855_bdg_erw.kml" TargetMode="External"/><Relationship Id="rId917" Type="http://schemas.openxmlformats.org/officeDocument/2006/relationships/hyperlink" Target="https://map.geo.admin.ch/?zoom=13&amp;E=2620707&amp;N=1173460&amp;layers=ch.kantone.cadastralwebmap-farbe,ch.swisstopo.amtliches-strassenverzeichnis,ch.bfs.gebaeude_wohnungs_register,KML||https://tinyurl.com/yy7ya4g9/BE/0938_bdg_erw.kml" TargetMode="External"/><Relationship Id="rId1102" Type="http://schemas.openxmlformats.org/officeDocument/2006/relationships/hyperlink" Target="https://map.geo.admin.ch/?zoom=13&amp;E=2618746.75&amp;N=1231297.125&amp;layers=ch.kantone.cadastralwebmap-farbe,ch.swisstopo.amtliches-strassenverzeichnis,ch.bfs.gebaeude_wohnungs_register,KML||https://tinyurl.com/yy7ya4g9/BE/0991_bdg_erw.kml" TargetMode="External"/><Relationship Id="rId46" Type="http://schemas.openxmlformats.org/officeDocument/2006/relationships/hyperlink" Target="https://map.geo.admin.ch/?zoom=13&amp;E=2624897&amp;N=1232338&amp;layers=ch.kantone.cadastralwebmap-farbe,ch.swisstopo.amtliches-strassenverzeichnis,ch.bfs.gebaeude_wohnungs_register,KML||https://tinyurl.com/yy7ya4g9/BE/0321_bdg_erw.kml" TargetMode="External"/><Relationship Id="rId349" Type="http://schemas.openxmlformats.org/officeDocument/2006/relationships/hyperlink" Target="https://map.geo.admin.ch/?zoom=13&amp;E=2616065.873&amp;N=1160292.797&amp;layers=ch.kantone.cadastralwebmap-farbe,ch.swisstopo.amtliches-strassenverzeichnis,ch.bfs.gebaeude_wohnungs_register,KML||https://tinyurl.com/yy7ya4g9/BE/0563_bdg_erw.kml" TargetMode="External"/><Relationship Id="rId556" Type="http://schemas.openxmlformats.org/officeDocument/2006/relationships/hyperlink" Target="https://map.geo.admin.ch/?zoom=13&amp;E=2597550.795&amp;N=1238168.217&amp;layers=ch.kantone.cadastralwebmap-farbe,ch.swisstopo.amtliches-strassenverzeichnis,ch.bfs.gebaeude_wohnungs_register,KML||https://tinyurl.com/yy7ya4g9/BE/0681_bdg_erw.kml" TargetMode="External"/><Relationship Id="rId763" Type="http://schemas.openxmlformats.org/officeDocument/2006/relationships/hyperlink" Target="https://map.geo.admin.ch/?zoom=13&amp;E=2602201&amp;N=1189831.625&amp;layers=ch.kantone.cadastralwebmap-farbe,ch.swisstopo.amtliches-strassenverzeichnis,ch.bfs.gebaeude_wohnungs_register,KML||https://tinyurl.com/yy7ya4g9/BE/0877_bdg_erw.kml" TargetMode="External"/><Relationship Id="rId111" Type="http://schemas.openxmlformats.org/officeDocument/2006/relationships/hyperlink" Target="https://map.geo.admin.ch/?zoom=13&amp;E=2600505.339&amp;N=1200597.595&amp;layers=ch.kantone.cadastralwebmap-farbe,ch.swisstopo.amtliches-strassenverzeichnis,ch.bfs.gebaeude_wohnungs_register,KML||https://tinyurl.com/yy7ya4g9/BE/0351_bdg_erw.kml" TargetMode="External"/><Relationship Id="rId195" Type="http://schemas.openxmlformats.org/officeDocument/2006/relationships/hyperlink" Target="https://map.geo.admin.ch/?zoom=13&amp;E=2592713.25&amp;N=1217240.5&amp;layers=ch.kantone.cadastralwebmap-farbe,ch.swisstopo.amtliches-strassenverzeichnis,ch.bfs.gebaeude_wohnungs_register,KML||https://tinyurl.com/yy7ya4g9/BE/0382_bdg_erw.kml" TargetMode="External"/><Relationship Id="rId209" Type="http://schemas.openxmlformats.org/officeDocument/2006/relationships/hyperlink" Target="https://map.geo.admin.ch/?zoom=13&amp;E=2600641.457&amp;N=1224959.113&amp;layers=ch.kantone.cadastralwebmap-farbe,ch.swisstopo.amtliches-strassenverzeichnis,ch.bfs.gebaeude_wohnungs_register,KML||https://tinyurl.com/yy7ya4g9/BE/0388_bdg_erw.kml" TargetMode="External"/><Relationship Id="rId416" Type="http://schemas.openxmlformats.org/officeDocument/2006/relationships/hyperlink" Target="https://map.geo.admin.ch/?zoom=13&amp;E=2622685&amp;N=1157211&amp;layers=ch.kantone.cadastralwebmap-farbe,ch.swisstopo.amtliches-strassenverzeichnis,ch.bfs.gebaeude_wohnungs_register,KML||https://tinyurl.com/yy7ya4g9/BE/0567_bdg_erw.kml" TargetMode="External"/><Relationship Id="rId970" Type="http://schemas.openxmlformats.org/officeDocument/2006/relationships/hyperlink" Target="https://map.geo.admin.ch/?zoom=13&amp;E=2610872&amp;N=1180465&amp;layers=ch.kantone.cadastralwebmap-farbe,ch.swisstopo.amtliches-strassenverzeichnis,ch.bfs.gebaeude_wohnungs_register,KML||https://tinyurl.com/yy7ya4g9/BE/0944_bdg_erw.kml" TargetMode="External"/><Relationship Id="rId1046" Type="http://schemas.openxmlformats.org/officeDocument/2006/relationships/hyperlink" Target="https://map.geo.admin.ch/?zoom=13&amp;E=2625973.251&amp;N=1218247.701&amp;layers=ch.kantone.cadastralwebmap-farbe,ch.swisstopo.amtliches-strassenverzeichnis,ch.bfs.gebaeude_wohnungs_register,KML||https://tinyurl.com/yy7ya4g9/BE/0959_bdg_erw.kml" TargetMode="External"/><Relationship Id="rId623" Type="http://schemas.openxmlformats.org/officeDocument/2006/relationships/hyperlink" Target="https://map.geo.admin.ch/?zoom=13&amp;E=2609397.198&amp;N=1164296.222&amp;layers=ch.kantone.cadastralwebmap-farbe,ch.swisstopo.amtliches-strassenverzeichnis,ch.bfs.gebaeude_wohnungs_register,KML||https://tinyurl.com/yy7ya4g9/BE/0762_bdg_erw.kml" TargetMode="External"/><Relationship Id="rId830" Type="http://schemas.openxmlformats.org/officeDocument/2006/relationships/hyperlink" Target="https://map.geo.admin.ch/?zoom=13&amp;E=2605230&amp;N=1179156&amp;layers=ch.kantone.cadastralwebmap-farbe,ch.swisstopo.amtliches-strassenverzeichnis,ch.bfs.gebaeude_wohnungs_register,KML||https://tinyurl.com/yy7ya4g9/BE/0886_bdg_erw.kml" TargetMode="External"/><Relationship Id="rId928" Type="http://schemas.openxmlformats.org/officeDocument/2006/relationships/hyperlink" Target="https://map.geo.admin.ch/?zoom=13&amp;E=2621453&amp;N=1173627&amp;layers=ch.kantone.cadastralwebmap-farbe,ch.swisstopo.amtliches-strassenverzeichnis,ch.bfs.gebaeude_wohnungs_register,KML||https://tinyurl.com/yy7ya4g9/BE/0938_bdg_erw.kml" TargetMode="External"/><Relationship Id="rId57" Type="http://schemas.openxmlformats.org/officeDocument/2006/relationships/hyperlink" Target="https://map.geo.admin.ch/?zoom=13&amp;E=2626206.25&amp;N=1227990.125&amp;layers=ch.kantone.cadastralwebmap-farbe,ch.swisstopo.amtliches-strassenverzeichnis,ch.bfs.gebaeude_wohnungs_register,KML||https://tinyurl.com/yy7ya4g9/BE/0329_bdg_erw.kml" TargetMode="External"/><Relationship Id="rId262" Type="http://schemas.openxmlformats.org/officeDocument/2006/relationships/hyperlink" Target="https://map.geo.admin.ch/?zoom=13&amp;E=2612919.75&amp;N=1208440.375&amp;layers=ch.kantone.cadastralwebmap-farbe,ch.swisstopo.amtliches-strassenverzeichnis,ch.bfs.gebaeude_wohnungs_register,KML||https://tinyurl.com/yy7ya4g9/BE/0418_bdg_erw.kml" TargetMode="External"/><Relationship Id="rId567" Type="http://schemas.openxmlformats.org/officeDocument/2006/relationships/hyperlink" Target="https://map.geo.admin.ch/?zoom=13&amp;E=2580627.951&amp;N=1219385.045&amp;layers=ch.kantone.cadastralwebmap-farbe,ch.swisstopo.amtliches-strassenverzeichnis,ch.bfs.gebaeude_wohnungs_register,KML||https://tinyurl.com/yy7ya4g9/BE/0726_bdg_erw.kml" TargetMode="External"/><Relationship Id="rId1113" Type="http://schemas.openxmlformats.org/officeDocument/2006/relationships/hyperlink" Target="https://map.geo.admin.ch/?zoom=13&amp;E=2618338&amp;N=1231105.625&amp;layers=ch.kantone.cadastralwebmap-farbe,ch.swisstopo.amtliches-strassenverzeichnis,ch.bfs.gebaeude_wohnungs_register,KML||https://tinyurl.com/yy7ya4g9/BE/0991_bdg_erw.kml" TargetMode="External"/><Relationship Id="rId122" Type="http://schemas.openxmlformats.org/officeDocument/2006/relationships/hyperlink" Target="https://map.geo.admin.ch/?zoom=13&amp;E=2605536&amp;N=1197656&amp;layers=ch.kantone.cadastralwebmap-farbe,ch.swisstopo.amtliches-strassenverzeichnis,ch.bfs.gebaeude_wohnungs_register,KML||https://tinyurl.com/yy7ya4g9/BE/0356_bdg_erw.kml" TargetMode="External"/><Relationship Id="rId774" Type="http://schemas.openxmlformats.org/officeDocument/2006/relationships/hyperlink" Target="https://map.geo.admin.ch/?zoom=13&amp;E=2602668&amp;N=1184237&amp;layers=ch.kantone.cadastralwebmap-farbe,ch.swisstopo.amtliches-strassenverzeichnis,ch.bfs.gebaeude_wohnungs_register,KML||https://tinyurl.com/yy7ya4g9/BE/0879_bdg_erw.kml" TargetMode="External"/><Relationship Id="rId981" Type="http://schemas.openxmlformats.org/officeDocument/2006/relationships/hyperlink" Target="https://map.geo.admin.ch/?zoom=13&amp;E=2622420.64&amp;N=1184687.184&amp;layers=ch.kantone.cadastralwebmap-farbe,ch.swisstopo.amtliches-strassenverzeichnis,ch.bfs.gebaeude_wohnungs_register,KML||https://tinyurl.com/yy7ya4g9/BE/0946_bdg_erw.kml" TargetMode="External"/><Relationship Id="rId1057" Type="http://schemas.openxmlformats.org/officeDocument/2006/relationships/hyperlink" Target="https://map.geo.admin.ch/?zoom=13&amp;E=2625314.626&amp;N=1218343.158&amp;layers=ch.kantone.cadastralwebmap-farbe,ch.swisstopo.amtliches-strassenverzeichnis,ch.bfs.gebaeude_wohnungs_register,KML||https://tinyurl.com/yy7ya4g9/BE/0959_bdg_erw.kml" TargetMode="External"/><Relationship Id="rId427" Type="http://schemas.openxmlformats.org/officeDocument/2006/relationships/hyperlink" Target="https://map.geo.admin.ch/?zoom=13&amp;E=2624695&amp;N=1155198&amp;layers=ch.kantone.cadastralwebmap-farbe,ch.swisstopo.amtliches-strassenverzeichnis,ch.bfs.gebaeude_wohnungs_register,KML||https://tinyurl.com/yy7ya4g9/BE/0567_bdg_erw.kml" TargetMode="External"/><Relationship Id="rId634" Type="http://schemas.openxmlformats.org/officeDocument/2006/relationships/hyperlink" Target="https://map.geo.admin.ch/?zoom=13&amp;E=2602745&amp;N=1160762&amp;layers=ch.kantone.cadastralwebmap-farbe,ch.swisstopo.amtliches-strassenverzeichnis,ch.bfs.gebaeude_wohnungs_register,KML||https://tinyurl.com/yy7ya4g9/BE/0762_bdg_erw.kml" TargetMode="External"/><Relationship Id="rId841" Type="http://schemas.openxmlformats.org/officeDocument/2006/relationships/hyperlink" Target="https://map.geo.admin.ch/?zoom=13&amp;E=2603531&amp;N=1179605&amp;layers=ch.kantone.cadastralwebmap-farbe,ch.swisstopo.amtliches-strassenverzeichnis,ch.bfs.gebaeude_wohnungs_register,KML||https://tinyurl.com/yy7ya4g9/BE/0886_bdg_erw.kml" TargetMode="External"/><Relationship Id="rId273" Type="http://schemas.openxmlformats.org/officeDocument/2006/relationships/hyperlink" Target="https://map.geo.admin.ch/?zoom=13&amp;E=2610428.5&amp;N=1214850.25&amp;layers=ch.kantone.cadastralwebmap-farbe,ch.swisstopo.amtliches-strassenverzeichnis,ch.bfs.gebaeude_wohnungs_register,KML||https://tinyurl.com/yy7ya4g9/BE/0420_bdg_erw.kml" TargetMode="External"/><Relationship Id="rId480" Type="http://schemas.openxmlformats.org/officeDocument/2006/relationships/hyperlink" Target="https://map.geo.admin.ch/?zoom=13&amp;E=2647709.75&amp;N=1178934.625&amp;layers=ch.kantone.cadastralwebmap-farbe,ch.swisstopo.amtliches-strassenverzeichnis,ch.bfs.gebaeude_wohnungs_register,KML||https://tinyurl.com/yy7ya4g9/BE/0592_bdg_erw.kml" TargetMode="External"/><Relationship Id="rId701" Type="http://schemas.openxmlformats.org/officeDocument/2006/relationships/hyperlink" Target="https://map.geo.admin.ch/?zoom=13&amp;E=2604702.418&amp;N=1182117.277&amp;layers=ch.kantone.cadastralwebmap-farbe,ch.swisstopo.amtliches-strassenverzeichnis,ch.bfs.gebaeude_wohnungs_register,KML||https://tinyurl.com/yy7ya4g9/BE/0863_bdg_erw.kml" TargetMode="External"/><Relationship Id="rId939" Type="http://schemas.openxmlformats.org/officeDocument/2006/relationships/hyperlink" Target="https://map.geo.admin.ch/?zoom=13&amp;E=2614790&amp;N=1181294&amp;layers=ch.kantone.cadastralwebmap-farbe,ch.swisstopo.amtliches-strassenverzeichnis,ch.bfs.gebaeude_wohnungs_register,KML||https://tinyurl.com/yy7ya4g9/BE/0939_bdg_erw.kml" TargetMode="External"/><Relationship Id="rId1124" Type="http://schemas.openxmlformats.org/officeDocument/2006/relationships/hyperlink" Target="https://map.geo.admin.ch/?zoom=13&amp;E=2617871.75&amp;N=1231079.875&amp;layers=ch.kantone.cadastralwebmap-farbe,ch.swisstopo.amtliches-strassenverzeichnis,ch.bfs.gebaeude_wohnungs_register,KML||https://tinyurl.com/yy7ya4g9/BE/0991_bdg_erw.kml" TargetMode="External"/><Relationship Id="rId68" Type="http://schemas.openxmlformats.org/officeDocument/2006/relationships/hyperlink" Target="https://map.geo.admin.ch/?zoom=13&amp;E=2626719&amp;N=1221649&amp;layers=ch.kantone.cadastralwebmap-farbe,ch.swisstopo.amtliches-strassenverzeichnis,ch.bfs.gebaeude_wohnungs_register,KML||https://tinyurl.com/yy7ya4g9/BE/0332_bdg_erw.kml" TargetMode="External"/><Relationship Id="rId133" Type="http://schemas.openxmlformats.org/officeDocument/2006/relationships/hyperlink" Target="https://map.geo.admin.ch/?zoom=13&amp;E=2593955.897&amp;N=1202101.205&amp;layers=ch.kantone.cadastralwebmap-farbe,ch.swisstopo.amtliches-strassenverzeichnis,ch.bfs.gebaeude_wohnungs_register,KML||https://tinyurl.com/yy7ya4g9/BE/0360_bdg_erw.kml" TargetMode="External"/><Relationship Id="rId340" Type="http://schemas.openxmlformats.org/officeDocument/2006/relationships/hyperlink" Target="https://map.geo.admin.ch/?zoom=13&amp;E=2611388.713&amp;N=1152940.951&amp;layers=ch.kantone.cadastralwebmap-farbe,ch.swisstopo.amtliches-strassenverzeichnis,ch.bfs.gebaeude_wohnungs_register,KML||https://tinyurl.com/yy7ya4g9/BE/0563_bdg_erw.kml" TargetMode="External"/><Relationship Id="rId578" Type="http://schemas.openxmlformats.org/officeDocument/2006/relationships/hyperlink" Target="https://map.geo.admin.ch/?zoom=13&amp;E=2587882.6&amp;N=1218961.991&amp;layers=ch.kantone.cadastralwebmap-farbe,ch.swisstopo.amtliches-strassenverzeichnis,ch.bfs.gebaeude_wohnungs_register,KML||https://tinyurl.com/yy7ya4g9/BE/0733_bdg_erw.kml" TargetMode="External"/><Relationship Id="rId785" Type="http://schemas.openxmlformats.org/officeDocument/2006/relationships/hyperlink" Target="https://map.geo.admin.ch/?zoom=13&amp;E=2602074.997&amp;N=1185383.975&amp;layers=ch.kantone.cadastralwebmap-farbe,ch.swisstopo.amtliches-strassenverzeichnis,ch.bfs.gebaeude_wohnungs_register,KML||https://tinyurl.com/yy7ya4g9/BE/0880_bdg_erw.kml" TargetMode="External"/><Relationship Id="rId992" Type="http://schemas.openxmlformats.org/officeDocument/2006/relationships/hyperlink" Target="https://map.geo.admin.ch/?zoom=13&amp;E=2630653.425&amp;N=1218178.94&amp;layers=ch.kantone.cadastralwebmap-farbe,ch.swisstopo.amtliches-strassenverzeichnis,ch.bfs.gebaeude_wohnungs_register,KML||https://tinyurl.com/yy7ya4g9/BE/0954_bdg_erw.kml" TargetMode="External"/><Relationship Id="rId200" Type="http://schemas.openxmlformats.org/officeDocument/2006/relationships/hyperlink" Target="https://map.geo.admin.ch/?zoom=13&amp;E=2594952.25&amp;N=1225295.375&amp;layers=ch.kantone.cadastralwebmap-farbe,ch.swisstopo.amtliches-strassenverzeichnis,ch.bfs.gebaeude_wohnungs_register,KML||https://tinyurl.com/yy7ya4g9/BE/0387_bdg_erw.kml" TargetMode="External"/><Relationship Id="rId438" Type="http://schemas.openxmlformats.org/officeDocument/2006/relationships/hyperlink" Target="https://map.geo.admin.ch/?zoom=13&amp;E=2621818&amp;N=1159785&amp;layers=ch.kantone.cadastralwebmap-farbe,ch.swisstopo.amtliches-strassenverzeichnis,ch.bfs.gebaeude_wohnungs_register,KML||https://tinyurl.com/yy7ya4g9/BE/0567_bdg_erw.kml" TargetMode="External"/><Relationship Id="rId645" Type="http://schemas.openxmlformats.org/officeDocument/2006/relationships/hyperlink" Target="https://map.geo.admin.ch/?zoom=13&amp;E=2615674&amp;N=1173726&amp;layers=ch.kantone.cadastralwebmap-farbe,ch.swisstopo.amtliches-strassenverzeichnis,ch.bfs.gebaeude_wohnungs_register,KML||https://tinyurl.com/yy7ya4g9/BE/0768_bdg_erw.kml" TargetMode="External"/><Relationship Id="rId852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1068" Type="http://schemas.openxmlformats.org/officeDocument/2006/relationships/hyperlink" Target="https://map.geo.admin.ch/?zoom=13&amp;E=2612438.291&amp;N=1233753.125&amp;layers=ch.kantone.cadastralwebmap-farbe,ch.swisstopo.amtliches-strassenverzeichnis,ch.bfs.gebaeude_wohnungs_register,KML||https://tinyurl.com/yy7ya4g9/BE/0971_bdg_erw.kml" TargetMode="External"/><Relationship Id="rId284" Type="http://schemas.openxmlformats.org/officeDocument/2006/relationships/hyperlink" Target="https://map.geo.admin.ch/?zoom=13&amp;E=2616925.601&amp;N=1217483.224&amp;layers=ch.kantone.cadastralwebmap-farbe,ch.swisstopo.amtliches-strassenverzeichnis,ch.bfs.gebaeude_wohnungs_register,KML||https://tinyurl.com/yy7ya4g9/BE/0424_bdg_erw.kml" TargetMode="External"/><Relationship Id="rId491" Type="http://schemas.openxmlformats.org/officeDocument/2006/relationships/hyperlink" Target="https://map.geo.admin.ch/?zoom=13&amp;E=2614909.864&amp;N=1197134.434&amp;layers=ch.kantone.cadastralwebmap-farbe,ch.swisstopo.amtliches-strassenverzeichnis,ch.bfs.gebaeude_wohnungs_register,KML||https://tinyurl.com/yy7ya4g9/BE/0603_bdg_erw.kml" TargetMode="External"/><Relationship Id="rId505" Type="http://schemas.openxmlformats.org/officeDocument/2006/relationships/hyperlink" Target="https://map.geo.admin.ch/?zoom=13&amp;E=2609045&amp;N=1191592.375&amp;layers=ch.kantone.cadastralwebmap-farbe,ch.swisstopo.amtliches-strassenverzeichnis,ch.bfs.gebaeude_wohnungs_register,KML||https://tinyurl.com/yy7ya4g9/BE/0616_bdg_erw.kml" TargetMode="External"/><Relationship Id="rId712" Type="http://schemas.openxmlformats.org/officeDocument/2006/relationships/hyperlink" Target="https://map.geo.admin.ch/?zoom=13&amp;E=2610051&amp;N=1185075.375&amp;layers=ch.kantone.cadastralwebmap-farbe,ch.swisstopo.amtliches-strassenverzeichnis,ch.bfs.gebaeude_wohnungs_register,KML||https://tinyurl.com/yy7ya4g9/BE/0868_bdg_erw.kml" TargetMode="External"/><Relationship Id="rId1135" Type="http://schemas.openxmlformats.org/officeDocument/2006/relationships/hyperlink" Target="https://map.geo.admin.ch/?zoom=13&amp;E=2616815.5&amp;N=1229536.875&amp;layers=ch.kantone.cadastralwebmap-farbe,ch.swisstopo.amtliches-strassenverzeichnis,ch.bfs.gebaeude_wohnungs_register,KML||https://tinyurl.com/yy7ya4g9/BE/0992_bdg_erw.kml" TargetMode="External"/><Relationship Id="rId79" Type="http://schemas.openxmlformats.org/officeDocument/2006/relationships/hyperlink" Target="https://map.geo.admin.ch/?zoom=13&amp;E=2628402&amp;N=1232673&amp;layers=ch.kantone.cadastralwebmap-farbe,ch.swisstopo.amtliches-strassenverzeichnis,ch.bfs.gebaeude_wohnungs_register,KML||https://tinyurl.com/yy7ya4g9/BE/0337_bdg_erw.kml" TargetMode="External"/><Relationship Id="rId144" Type="http://schemas.openxmlformats.org/officeDocument/2006/relationships/hyperlink" Target="https://map.geo.admin.ch/?zoom=13&amp;E=2601468.069&amp;N=1204327.105&amp;layers=ch.kantone.cadastralwebmap-farbe,ch.swisstopo.amtliches-strassenverzeichnis,ch.bfs.gebaeude_wohnungs_register,KML||https://tinyurl.com/yy7ya4g9/BE/0361_bdg_erw.kml" TargetMode="External"/><Relationship Id="rId589" Type="http://schemas.openxmlformats.org/officeDocument/2006/relationships/hyperlink" Target="https://map.geo.admin.ch/?zoom=13&amp;E=2585072.088&amp;N=1219227.719&amp;layers=ch.kantone.cadastralwebmap-farbe,ch.swisstopo.amtliches-strassenverzeichnis,ch.bfs.gebaeude_wohnungs_register,KML||https://tinyurl.com/yy7ya4g9/BE/0743_bdg_erw.kml" TargetMode="External"/><Relationship Id="rId796" Type="http://schemas.openxmlformats.org/officeDocument/2006/relationships/hyperlink" Target="https://map.geo.admin.ch/?zoom=13&amp;E=2603728.871&amp;N=1191239.173&amp;layers=ch.kantone.cadastralwebmap-farbe,ch.swisstopo.amtliches-strassenverzeichnis,ch.bfs.gebaeude_wohnungs_register,KML||https://tinyurl.com/yy7ya4g9/BE/0884_bdg_erw.kml" TargetMode="External"/><Relationship Id="rId351" Type="http://schemas.openxmlformats.org/officeDocument/2006/relationships/hyperlink" Target="https://map.geo.admin.ch/?zoom=13&amp;E=2616420.874&amp;N=1158894.796&amp;layers=ch.kantone.cadastralwebmap-farbe,ch.swisstopo.amtliches-strassenverzeichnis,ch.bfs.gebaeude_wohnungs_register,KML||https://tinyurl.com/yy7ya4g9/BE/0563_bdg_erw.kml" TargetMode="External"/><Relationship Id="rId449" Type="http://schemas.openxmlformats.org/officeDocument/2006/relationships/hyperlink" Target="https://map.geo.admin.ch/?zoom=13&amp;E=2650649.5&amp;N=1178174.875&amp;layers=ch.kantone.cadastralwebmap-farbe,ch.swisstopo.amtliches-strassenverzeichnis,ch.bfs.gebaeude_wohnungs_register,KML||https://tinyurl.com/yy7ya4g9/BE/0574_bdg_erw.kml" TargetMode="External"/><Relationship Id="rId656" Type="http://schemas.openxmlformats.org/officeDocument/2006/relationships/hyperlink" Target="https://map.geo.admin.ch/?zoom=13&amp;E=2650930&amp;N=1176745&amp;layers=ch.kantone.cadastralwebmap-farbe,ch.swisstopo.amtliches-strassenverzeichnis,ch.bfs.gebaeude_wohnungs_register,KML||https://tinyurl.com/yy7ya4g9/BE/0785_bdg_erw.kml" TargetMode="External"/><Relationship Id="rId863" Type="http://schemas.openxmlformats.org/officeDocument/2006/relationships/hyperlink" Target="https://map.geo.admin.ch/?zoom=13&amp;E=2605494&amp;N=1183540&amp;layers=ch.kantone.cadastralwebmap-farbe,ch.swisstopo.amtliches-strassenverzeichnis,ch.bfs.gebaeude_wohnungs_register,KML||https://tinyurl.com/yy7ya4g9/BE/0889_bdg_erw.kml" TargetMode="External"/><Relationship Id="rId1079" Type="http://schemas.openxmlformats.org/officeDocument/2006/relationships/hyperlink" Target="https://map.geo.admin.ch/?zoom=13&amp;E=2620264.2&amp;N=1236026.7&amp;layers=ch.kantone.cadastralwebmap-farbe,ch.swisstopo.amtliches-strassenverzeichnis,ch.bfs.gebaeude_wohnungs_register,KML||https://tinyurl.com/yy7ya4g9/BE/0981_bdg_erw.kml" TargetMode="External"/><Relationship Id="rId211" Type="http://schemas.openxmlformats.org/officeDocument/2006/relationships/hyperlink" Target="https://map.geo.admin.ch/?zoom=13&amp;E=2593402&amp;N=1223368&amp;layers=ch.kantone.cadastralwebmap-farbe,ch.swisstopo.amtliches-strassenverzeichnis,ch.bfs.gebaeude_wohnungs_register,KML||https://tinyurl.com/yy7ya4g9/BE/0390_bdg_erw.kml" TargetMode="External"/><Relationship Id="rId295" Type="http://schemas.openxmlformats.org/officeDocument/2006/relationships/hyperlink" Target="https://map.geo.admin.ch/?zoom=13&amp;E=2580198.5&amp;N=1208566.375&amp;layers=ch.kantone.cadastralwebmap-farbe,ch.swisstopo.amtliches-strassenverzeichnis,ch.bfs.gebaeude_wohnungs_register,KML||https://tinyurl.com/yy7ya4g9/BE/0493_bdg_erw.kml" TargetMode="External"/><Relationship Id="rId309" Type="http://schemas.openxmlformats.org/officeDocument/2006/relationships/hyperlink" Target="https://map.geo.admin.ch/?zoom=13&amp;E=2603189&amp;N=1216697&amp;layers=ch.kantone.cadastralwebmap-farbe,ch.swisstopo.amtliches-strassenverzeichnis,ch.bfs.gebaeude_wohnungs_register,KML||https://tinyurl.com/yy7ya4g9/BE/0538_bdg_erw.kml" TargetMode="External"/><Relationship Id="rId516" Type="http://schemas.openxmlformats.org/officeDocument/2006/relationships/hyperlink" Target="https://map.geo.admin.ch/?zoom=13&amp;E=2618391.25&amp;N=1196295.25&amp;layers=ch.kantone.cadastralwebmap-farbe,ch.swisstopo.amtliches-strassenverzeichnis,ch.bfs.gebaeude_wohnungs_register,KML||https://tinyurl.com/yy7ya4g9/BE/0620_bdg_erw.kml" TargetMode="External"/><Relationship Id="rId723" Type="http://schemas.openxmlformats.org/officeDocument/2006/relationships/hyperlink" Target="https://map.geo.admin.ch/?zoom=13&amp;E=2609274&amp;N=1183987&amp;layers=ch.kantone.cadastralwebmap-farbe,ch.swisstopo.amtliches-strassenverzeichnis,ch.bfs.gebaeude_wohnungs_register,KML||https://tinyurl.com/yy7ya4g9/BE/0872_bdg_erw.kml" TargetMode="External"/><Relationship Id="rId930" Type="http://schemas.openxmlformats.org/officeDocument/2006/relationships/hyperlink" Target="https://map.geo.admin.ch/?zoom=13&amp;E=2615319.763&amp;N=1181175.634&amp;layers=ch.kantone.cadastralwebmap-farbe,ch.swisstopo.amtliches-strassenverzeichnis,ch.bfs.gebaeude_wohnungs_register,KML||https://tinyurl.com/yy7ya4g9/BE/0939_bdg_erw.kml" TargetMode="External"/><Relationship Id="rId1006" Type="http://schemas.openxmlformats.org/officeDocument/2006/relationships/hyperlink" Target="https://map.geo.admin.ch/?zoom=13&amp;E=2619584&amp;N=1205635.375&amp;layers=ch.kantone.cadastralwebmap-farbe,ch.swisstopo.amtliches-strassenverzeichnis,ch.bfs.gebaeude_wohnungs_register,KML||https://tinyurl.com/yy7ya4g9/BE/0955_bdg_erw.kml" TargetMode="External"/><Relationship Id="rId155" Type="http://schemas.openxmlformats.org/officeDocument/2006/relationships/hyperlink" Target="https://map.geo.admin.ch/?zoom=13&amp;E=2585514.083&amp;N=1219818.868&amp;layers=ch.kantone.cadastralwebmap-farbe,ch.swisstopo.amtliches-strassenverzeichnis,ch.bfs.gebaeude_wohnungs_register,KML||https://tinyurl.com/yy7ya4g9/BE/0371_bdg_erw.kml" TargetMode="External"/><Relationship Id="rId362" Type="http://schemas.openxmlformats.org/officeDocument/2006/relationships/hyperlink" Target="https://map.geo.admin.ch/?zoom=13&amp;E=2612650.75&amp;N=1152812.875&amp;layers=ch.kantone.cadastralwebmap-farbe,ch.swisstopo.amtliches-strassenverzeichnis,ch.bfs.gebaeude_wohnungs_register,KML||https://tinyurl.com/yy7ya4g9/BE/0563_bdg_erw.kml" TargetMode="External"/><Relationship Id="rId222" Type="http://schemas.openxmlformats.org/officeDocument/2006/relationships/hyperlink" Target="https://map.geo.admin.ch/?zoom=13&amp;E=2614794.714&amp;N=1213537.024&amp;layers=ch.kantone.cadastralwebmap-farbe,ch.swisstopo.amtliches-strassenverzeichnis,ch.bfs.gebaeude_wohnungs_register,KML||https://tinyurl.com/yy7ya4g9/BE/0404_bdg_erw.kml" TargetMode="External"/><Relationship Id="rId667" Type="http://schemas.openxmlformats.org/officeDocument/2006/relationships/hyperlink" Target="https://map.geo.admin.ch/?zoom=13&amp;E=2595249.75&amp;N=1157600.5&amp;layers=ch.kantone.cadastralwebmap-farbe,ch.swisstopo.amtliches-strassenverzeichnis,ch.bfs.gebaeude_wohnungs_register,KML||https://tinyurl.com/yy7ya4g9/BE/0794_bdg_erw.kml" TargetMode="External"/><Relationship Id="rId874" Type="http://schemas.openxmlformats.org/officeDocument/2006/relationships/hyperlink" Target="https://map.geo.admin.ch/?zoom=13&amp;E=2626807&amp;N=1199058&amp;layers=ch.kantone.cadastralwebmap-farbe,ch.swisstopo.amtliches-strassenverzeichnis,ch.bfs.gebaeude_wohnungs_register,KML||https://tinyurl.com/yy7ya4g9/BE/0902_bdg_erw.kml" TargetMode="External"/><Relationship Id="rId17" Type="http://schemas.openxmlformats.org/officeDocument/2006/relationships/hyperlink" Target="https://map.geo.admin.ch/?zoom=13&amp;E=2591732.747&amp;N=1216561.126&amp;layers=ch.kantone.cadastralwebmap-farbe,ch.swisstopo.amtliches-strassenverzeichnis,ch.bfs.gebaeude_wohnungs_register,KML||https://tinyurl.com/yy7ya4g9/BE/0306_bdg_erw.kml" TargetMode="External"/><Relationship Id="rId527" Type="http://schemas.openxmlformats.org/officeDocument/2006/relationships/hyperlink" Target="https://map.geo.admin.ch/?zoom=13&amp;E=2608942.123&amp;N=1199048.991&amp;layers=ch.kantone.cadastralwebmap-farbe,ch.swisstopo.amtliches-strassenverzeichnis,ch.bfs.gebaeude_wohnungs_register,KML||https://tinyurl.com/yy7ya4g9/BE/0627_bdg_erw.kml" TargetMode="External"/><Relationship Id="rId734" Type="http://schemas.openxmlformats.org/officeDocument/2006/relationships/hyperlink" Target="https://map.geo.admin.ch/?zoom=13&amp;E=2602197.5&amp;N=1189971.25&amp;layers=ch.kantone.cadastralwebmap-farbe,ch.swisstopo.amtliches-strassenverzeichnis,ch.bfs.gebaeude_wohnungs_register,KML||https://tinyurl.com/yy7ya4g9/BE/0877_bdg_erw.kml" TargetMode="External"/><Relationship Id="rId941" Type="http://schemas.openxmlformats.org/officeDocument/2006/relationships/hyperlink" Target="https://map.geo.admin.ch/?zoom=13&amp;E=2613672.137&amp;N=1180998.94&amp;layers=ch.kantone.cadastralwebmap-farbe,ch.swisstopo.amtliches-strassenverzeichnis,ch.bfs.gebaeude_wohnungs_register,KML||https://tinyurl.com/yy7ya4g9/BE/0939_bdg_erw.kml" TargetMode="External"/><Relationship Id="rId70" Type="http://schemas.openxmlformats.org/officeDocument/2006/relationships/hyperlink" Target="https://map.geo.admin.ch/?zoom=13&amp;E=2628489.226&amp;N=1222903.923&amp;layers=ch.kantone.cadastralwebmap-farbe,ch.swisstopo.amtliches-strassenverzeichnis,ch.bfs.gebaeude_wohnungs_register,KML||https://tinyurl.com/yy7ya4g9/BE/0332_bdg_erw.kml" TargetMode="External"/><Relationship Id="rId166" Type="http://schemas.openxmlformats.org/officeDocument/2006/relationships/hyperlink" Target="https://map.geo.admin.ch/?zoom=13&amp;E=2586138.221&amp;N=1220109.663&amp;layers=ch.kantone.cadastralwebmap-farbe,ch.swisstopo.amtliches-strassenverzeichnis,ch.bfs.gebaeude_wohnungs_register,KML||https://tinyurl.com/yy7ya4g9/BE/0371_bdg_erw.kml" TargetMode="External"/><Relationship Id="rId373" Type="http://schemas.openxmlformats.org/officeDocument/2006/relationships/hyperlink" Target="https://map.geo.admin.ch/?zoom=13&amp;E=2612834.5&amp;N=1154276.375&amp;layers=ch.kantone.cadastralwebmap-farbe,ch.swisstopo.amtliches-strassenverzeichnis,ch.bfs.gebaeude_wohnungs_register,KML||https://tinyurl.com/yy7ya4g9/BE/0563_bdg_erw.kml" TargetMode="External"/><Relationship Id="rId580" Type="http://schemas.openxmlformats.org/officeDocument/2006/relationships/hyperlink" Target="https://map.geo.admin.ch/?zoom=13&amp;E=2587863.736&amp;N=1219175.259&amp;layers=ch.kantone.cadastralwebmap-farbe,ch.swisstopo.amtliches-strassenverzeichnis,ch.bfs.gebaeude_wohnungs_register,KML||https://tinyurl.com/yy7ya4g9/BE/0733_bdg_erw.kml" TargetMode="External"/><Relationship Id="rId801" Type="http://schemas.openxmlformats.org/officeDocument/2006/relationships/hyperlink" Target="https://map.geo.admin.ch/?zoom=13&amp;E=2609849.776&amp;N=1183763.425&amp;layers=ch.kantone.cadastralwebmap-farbe,ch.swisstopo.amtliches-strassenverzeichnis,ch.bfs.gebaeude_wohnungs_register,KML||https://tinyurl.com/yy7ya4g9/BE/0885_bdg_erw.kml" TargetMode="External"/><Relationship Id="rId1017" Type="http://schemas.openxmlformats.org/officeDocument/2006/relationships/hyperlink" Target="https://map.geo.admin.ch/?zoom=13&amp;E=2629788&amp;N=1211074&amp;layers=ch.kantone.cadastralwebmap-farbe,ch.swisstopo.amtliches-strassenverzeichnis,ch.bfs.gebaeude_wohnungs_register,KML||https://tinyurl.com/yy7ya4g9/BE/0957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613119.5&amp;N=1212915.625&amp;layers=ch.kantone.cadastralwebmap-farbe,ch.swisstopo.amtliches-strassenverzeichnis,ch.bfs.gebaeude_wohnungs_register,KML||https://tinyurl.com/yy7ya4g9/BE/0404_bdg_erw.kml" TargetMode="External"/><Relationship Id="rId440" Type="http://schemas.openxmlformats.org/officeDocument/2006/relationships/hyperlink" Target="https://map.geo.admin.ch/?zoom=13&amp;E=2619898&amp;N=1162330&amp;layers=ch.kantone.cadastralwebmap-farbe,ch.swisstopo.amtliches-strassenverzeichnis,ch.bfs.gebaeude_wohnungs_register,KML||https://tinyurl.com/yy7ya4g9/BE/0567_bdg_erw.kml" TargetMode="External"/><Relationship Id="rId678" Type="http://schemas.openxmlformats.org/officeDocument/2006/relationships/hyperlink" Target="https://map.geo.admin.ch/?zoom=13&amp;E=2591023.5&amp;N=1177902.125&amp;layers=ch.kantone.cadastralwebmap-farbe,ch.swisstopo.amtliches-strassenverzeichnis,ch.bfs.gebaeude_wohnungs_register,KML||https://tinyurl.com/yy7ya4g9/BE/0852_bdg_erw.kml" TargetMode="External"/><Relationship Id="rId885" Type="http://schemas.openxmlformats.org/officeDocument/2006/relationships/hyperlink" Target="https://map.geo.admin.ch/?zoom=13&amp;E=2631046&amp;N=1196994&amp;layers=ch.kantone.cadastralwebmap-farbe,ch.swisstopo.amtliches-strassenverzeichnis,ch.bfs.gebaeude_wohnungs_register,KML||https://tinyurl.com/yy7ya4g9/BE/0909_bdg_erw.kml" TargetMode="External"/><Relationship Id="rId1070" Type="http://schemas.openxmlformats.org/officeDocument/2006/relationships/hyperlink" Target="https://map.geo.admin.ch/?zoom=13&amp;E=2613267.314&amp;N=1233443.222&amp;layers=ch.kantone.cadastralwebmap-farbe,ch.swisstopo.amtliches-strassenverzeichnis,ch.bfs.gebaeude_wohnungs_register,KML||https://tinyurl.com/yy7ya4g9/BE/0971_bdg_erw.kml" TargetMode="External"/><Relationship Id="rId28" Type="http://schemas.openxmlformats.org/officeDocument/2006/relationships/hyperlink" Target="https://map.geo.admin.ch/?zoom=13&amp;E=2589763.86&amp;N=1213000.54&amp;layers=ch.kantone.cadastralwebmap-farbe,ch.swisstopo.amtliches-strassenverzeichnis,ch.bfs.gebaeude_wohnungs_register,KML||https://tinyurl.com/yy7ya4g9/BE/0306_bdg_erw.kml" TargetMode="External"/><Relationship Id="rId300" Type="http://schemas.openxmlformats.org/officeDocument/2006/relationships/hyperlink" Target="https://map.geo.admin.ch/?zoom=13&amp;E=2574612&amp;N=1205506&amp;layers=ch.kantone.cadastralwebmap-farbe,ch.swisstopo.amtliches-strassenverzeichnis,ch.bfs.gebaeude_wohnungs_register,KML||https://tinyurl.com/yy7ya4g9/BE/0496_bdg_erw.kml" TargetMode="External"/><Relationship Id="rId538" Type="http://schemas.openxmlformats.org/officeDocument/2006/relationships/hyperlink" Target="https://map.geo.admin.ch/?zoom=13&amp;E=2609867.263&amp;N=1187968.153&amp;layers=ch.kantone.cadastralwebmap-farbe,ch.swisstopo.amtliches-strassenverzeichnis,ch.bfs.gebaeude_wohnungs_register,KML||https://tinyurl.com/yy7ya4g9/BE/0632_bdg_erw.kml" TargetMode="External"/><Relationship Id="rId745" Type="http://schemas.openxmlformats.org/officeDocument/2006/relationships/hyperlink" Target="https://map.geo.admin.ch/?zoom=13&amp;E=2600048.5&amp;N=1189205.375&amp;layers=ch.kantone.cadastralwebmap-farbe,ch.swisstopo.amtliches-strassenverzeichnis,ch.bfs.gebaeude_wohnungs_register,KML||https://tinyurl.com/yy7ya4g9/BE/0877_bdg_erw.kml" TargetMode="External"/><Relationship Id="rId952" Type="http://schemas.openxmlformats.org/officeDocument/2006/relationships/hyperlink" Target="https://map.geo.admin.ch/?zoom=13&amp;E=2609835&amp;N=1177754&amp;layers=ch.kantone.cadastralwebmap-farbe,ch.swisstopo.amtliches-strassenverzeichnis,ch.bfs.gebaeude_wohnungs_register,KML||https://tinyurl.com/yy7ya4g9/BE/0941_bdg_erw.kml" TargetMode="External"/><Relationship Id="rId81" Type="http://schemas.openxmlformats.org/officeDocument/2006/relationships/hyperlink" Target="https://map.geo.admin.ch/?zoom=13&amp;E=2628802&amp;N=1232671&amp;layers=ch.kantone.cadastralwebmap-farbe,ch.swisstopo.amtliches-strassenverzeichnis,ch.bfs.gebaeude_wohnungs_register,KML||https://tinyurl.com/yy7ya4g9/BE/0337_bdg_erw.kml" TargetMode="External"/><Relationship Id="rId177" Type="http://schemas.openxmlformats.org/officeDocument/2006/relationships/hyperlink" Target="https://map.geo.admin.ch/?zoom=13&amp;E=2588282.544&amp;N=1223057.564&amp;layers=ch.kantone.cadastralwebmap-farbe,ch.swisstopo.amtliches-strassenverzeichnis,ch.bfs.gebaeude_wohnungs_register,KML||https://tinyurl.com/yy7ya4g9/BE/0371_bdg_erw.kml" TargetMode="External"/><Relationship Id="rId384" Type="http://schemas.openxmlformats.org/officeDocument/2006/relationships/hyperlink" Target="https://map.geo.admin.ch/?zoom=13&amp;E=2613797.25&amp;N=1157269.375&amp;layers=ch.kantone.cadastralwebmap-farbe,ch.swisstopo.amtliches-strassenverzeichnis,ch.bfs.gebaeude_wohnungs_register,KML||https://tinyurl.com/yy7ya4g9/BE/0563_bdg_erw.kml" TargetMode="External"/><Relationship Id="rId591" Type="http://schemas.openxmlformats.org/officeDocument/2006/relationships/hyperlink" Target="https://map.geo.admin.ch/?zoom=13&amp;E=2585083.874&amp;N=1219244.972&amp;layers=ch.kantone.cadastralwebmap-farbe,ch.swisstopo.amtliches-strassenverzeichnis,ch.bfs.gebaeude_wohnungs_register,KML||https://tinyurl.com/yy7ya4g9/BE/0743_bdg_erw.kml" TargetMode="External"/><Relationship Id="rId605" Type="http://schemas.openxmlformats.org/officeDocument/2006/relationships/hyperlink" Target="https://map.geo.admin.ch/?zoom=13&amp;E=2589032.25&amp;N=1218485.25&amp;layers=ch.kantone.cadastralwebmap-farbe,ch.swisstopo.amtliches-strassenverzeichnis,ch.bfs.gebaeude_wohnungs_register,KML||https://tinyurl.com/yy7ya4g9/BE/0749_bdg_erw.kml" TargetMode="External"/><Relationship Id="rId812" Type="http://schemas.openxmlformats.org/officeDocument/2006/relationships/hyperlink" Target="https://map.geo.admin.ch/?zoom=13&amp;E=2604948&amp;N=1178771&amp;layers=ch.kantone.cadastralwebmap-farbe,ch.swisstopo.amtliches-strassenverzeichnis,ch.bfs.gebaeude_wohnungs_register,KML||https://tinyurl.com/yy7ya4g9/BE/0886_bdg_erw.kml" TargetMode="External"/><Relationship Id="rId1028" Type="http://schemas.openxmlformats.org/officeDocument/2006/relationships/hyperlink" Target="https://map.geo.admin.ch/?zoom=13&amp;E=2625511.108&amp;N=1209580.098&amp;layers=ch.kantone.cadastralwebmap-farbe,ch.swisstopo.amtliches-strassenverzeichnis,ch.bfs.gebaeude_wohnungs_register,KML||https://tinyurl.com/yy7ya4g9/BE/0957_bdg_erw.kml" TargetMode="External"/><Relationship Id="rId244" Type="http://schemas.openxmlformats.org/officeDocument/2006/relationships/hyperlink" Target="https://map.geo.admin.ch/?zoom=13&amp;E=2614258.596&amp;N=1212140.369&amp;layers=ch.kantone.cadastralwebmap-farbe,ch.swisstopo.amtliches-strassenverzeichnis,ch.bfs.gebaeude_wohnungs_register,KML||https://tinyurl.com/yy7ya4g9/BE/0404_bdg_erw.kml" TargetMode="External"/><Relationship Id="rId689" Type="http://schemas.openxmlformats.org/officeDocument/2006/relationships/hyperlink" Target="https://map.geo.admin.ch/?zoom=13&amp;E=2596846&amp;N=1180464&amp;layers=ch.kantone.cadastralwebmap-farbe,ch.swisstopo.amtliches-strassenverzeichnis,ch.bfs.gebaeude_wohnungs_register,KML||https://tinyurl.com/yy7ya4g9/BE/0853_bdg_erw.kml" TargetMode="External"/><Relationship Id="rId896" Type="http://schemas.openxmlformats.org/officeDocument/2006/relationships/hyperlink" Target="https://map.geo.admin.ch/?zoom=13&amp;E=2628546.878&amp;N=1182466.786&amp;layers=ch.kantone.cadastralwebmap-farbe,ch.swisstopo.amtliches-strassenverzeichnis,ch.bfs.gebaeude_wohnungs_register,KML||https://tinyurl.com/yy7ya4g9/BE/0924_bdg_erw.kml" TargetMode="External"/><Relationship Id="rId1081" Type="http://schemas.openxmlformats.org/officeDocument/2006/relationships/hyperlink" Target="https://map.geo.admin.ch/?zoom=13&amp;E=2619524&amp;N=1226405&amp;layers=ch.kantone.cadastralwebmap-farbe,ch.swisstopo.amtliches-strassenverzeichnis,ch.bfs.gebaeude_wohnungs_register,KML||https://tinyurl.com/yy7ya4g9/BE/0982_bdg_erw.kml" TargetMode="External"/><Relationship Id="rId39" Type="http://schemas.openxmlformats.org/officeDocument/2006/relationships/hyperlink" Target="https://map.geo.admin.ch/?zoom=13&amp;E=2598034&amp;N=1212493&amp;layers=ch.kantone.cadastralwebmap-farbe,ch.swisstopo.amtliches-strassenverzeichnis,ch.bfs.gebaeude_wohnungs_register,KML||https://tinyurl.com/yy7ya4g9/BE/0310_bdg_erw.kml" TargetMode="External"/><Relationship Id="rId451" Type="http://schemas.openxmlformats.org/officeDocument/2006/relationships/hyperlink" Target="https://map.geo.admin.ch/?zoom=13&amp;E=2650697.418&amp;N=1177980.784&amp;layers=ch.kantone.cadastralwebmap-farbe,ch.swisstopo.amtliches-strassenverzeichnis,ch.bfs.gebaeude_wohnungs_register,KML||https://tinyurl.com/yy7ya4g9/BE/0574_bdg_erw.kml" TargetMode="External"/><Relationship Id="rId549" Type="http://schemas.openxmlformats.org/officeDocument/2006/relationships/hyperlink" Target="https://map.geo.admin.ch/?zoom=13&amp;E=2583862.958&amp;N=1195565.958&amp;layers=ch.kantone.cadastralwebmap-farbe,ch.swisstopo.amtliches-strassenverzeichnis,ch.bfs.gebaeude_wohnungs_register,KML||https://tinyurl.com/yy7ya4g9/BE/0666_bdg_erw.kml" TargetMode="External"/><Relationship Id="rId756" Type="http://schemas.openxmlformats.org/officeDocument/2006/relationships/hyperlink" Target="https://map.geo.admin.ch/?zoom=13&amp;E=2602188.75&amp;N=1189847.125&amp;layers=ch.kantone.cadastralwebmap-farbe,ch.swisstopo.amtliches-strassenverzeichnis,ch.bfs.gebaeude_wohnungs_register,KML||https://tinyurl.com/yy7ya4g9/BE/0877_bdg_erw.kml" TargetMode="External"/><Relationship Id="rId104" Type="http://schemas.openxmlformats.org/officeDocument/2006/relationships/hyperlink" Target="https://map.geo.admin.ch/?zoom=13&amp;E=2596891.22&amp;N=1199873.69&amp;layers=ch.kantone.cadastralwebmap-farbe,ch.swisstopo.amtliches-strassenverzeichnis,ch.bfs.gebaeude_wohnungs_register,KML||https://tinyurl.com/yy7ya4g9/BE/0351_bdg_erw.kml" TargetMode="External"/><Relationship Id="rId188" Type="http://schemas.openxmlformats.org/officeDocument/2006/relationships/hyperlink" Target="https://map.geo.admin.ch/?zoom=13&amp;E=2584972&amp;N=1220930&amp;layers=ch.kantone.cadastralwebmap-farbe,ch.swisstopo.amtliches-strassenverzeichnis,ch.bfs.gebaeude_wohnungs_register,KML||https://tinyurl.com/yy7ya4g9/BE/0371_bdg_erw.kml" TargetMode="External"/><Relationship Id="rId311" Type="http://schemas.openxmlformats.org/officeDocument/2006/relationships/hyperlink" Target="https://map.geo.admin.ch/?zoom=13&amp;E=2604375.295&amp;N=1217358.878&amp;layers=ch.kantone.cadastralwebmap-farbe,ch.swisstopo.amtliches-strassenverzeichnis,ch.bfs.gebaeude_wohnungs_register,KML||https://tinyurl.com/yy7ya4g9/BE/0538_bdg_erw.kml" TargetMode="External"/><Relationship Id="rId395" Type="http://schemas.openxmlformats.org/officeDocument/2006/relationships/hyperlink" Target="https://map.geo.admin.ch/?zoom=13&amp;E=2623456&amp;N=1155570&amp;layers=ch.kantone.cadastralwebmap-farbe,ch.swisstopo.amtliches-strassenverzeichnis,ch.bfs.gebaeude_wohnungs_register,KML||https://tinyurl.com/yy7ya4g9/BE/0567_bdg_erw.kml" TargetMode="External"/><Relationship Id="rId409" Type="http://schemas.openxmlformats.org/officeDocument/2006/relationships/hyperlink" Target="https://map.geo.admin.ch/?zoom=13&amp;E=2625340&amp;N=1153605&amp;layers=ch.kantone.cadastralwebmap-farbe,ch.swisstopo.amtliches-strassenverzeichnis,ch.bfs.gebaeude_wohnungs_register,KML||https://tinyurl.com/yy7ya4g9/BE/0567_bdg_erw.kml" TargetMode="External"/><Relationship Id="rId963" Type="http://schemas.openxmlformats.org/officeDocument/2006/relationships/hyperlink" Target="https://map.geo.admin.ch/?zoom=13&amp;E=2614430&amp;N=1175650&amp;layers=ch.kantone.cadastralwebmap-farbe,ch.swisstopo.amtliches-strassenverzeichnis,ch.bfs.gebaeude_wohnungs_register,KML||https://tinyurl.com/yy7ya4g9/BE/0942_bdg_erw.kml" TargetMode="External"/><Relationship Id="rId1039" Type="http://schemas.openxmlformats.org/officeDocument/2006/relationships/hyperlink" Target="https://map.geo.admin.ch/?zoom=13&amp;E=2624882.543&amp;N=1216732.114&amp;layers=ch.kantone.cadastralwebmap-farbe,ch.swisstopo.amtliches-strassenverzeichnis,ch.bfs.gebaeude_wohnungs_register,KML||https://tinyurl.com/yy7ya4g9/BE/0959_bdg_erw.kml" TargetMode="External"/><Relationship Id="rId92" Type="http://schemas.openxmlformats.org/officeDocument/2006/relationships/hyperlink" Target="https://map.geo.admin.ch/?zoom=13&amp;E=2623558.11&amp;N=1220068.848&amp;layers=ch.kantone.cadastralwebmap-farbe,ch.swisstopo.amtliches-strassenverzeichnis,ch.bfs.gebaeude_wohnungs_register,KML||https://tinyurl.com/yy7ya4g9/BE/0344_bdg_erw.kml" TargetMode="External"/><Relationship Id="rId616" Type="http://schemas.openxmlformats.org/officeDocument/2006/relationships/hyperlink" Target="https://map.geo.admin.ch/?zoom=13&amp;E=2589041.214&amp;N=1216734.414&amp;layers=ch.kantone.cadastralwebmap-farbe,ch.swisstopo.amtliches-strassenverzeichnis,ch.bfs.gebaeude_wohnungs_register,KML||https://tinyurl.com/yy7ya4g9/BE/0755_bdg_erw.kml" TargetMode="External"/><Relationship Id="rId823" Type="http://schemas.openxmlformats.org/officeDocument/2006/relationships/hyperlink" Target="https://map.geo.admin.ch/?zoom=13&amp;E=2604074&amp;N=1176888&amp;layers=ch.kantone.cadastralwebmap-farbe,ch.swisstopo.amtliches-strassenverzeichnis,ch.bfs.gebaeude_wohnungs_register,KML||https://tinyurl.com/yy7ya4g9/BE/0886_bdg_erw.kml" TargetMode="External"/><Relationship Id="rId255" Type="http://schemas.openxmlformats.org/officeDocument/2006/relationships/hyperlink" Target="https://map.geo.admin.ch/?zoom=13&amp;E=2611335&amp;N=1214330&amp;layers=ch.kantone.cadastralwebmap-farbe,ch.swisstopo.amtliches-strassenverzeichnis,ch.bfs.gebaeude_wohnungs_register,KML||https://tinyurl.com/yy7ya4g9/BE/0412_bdg_erw.kml" TargetMode="External"/><Relationship Id="rId462" Type="http://schemas.openxmlformats.org/officeDocument/2006/relationships/hyperlink" Target="https://map.geo.admin.ch/?zoom=13&amp;E=2632975.5&amp;N=1171201.875&amp;layers=ch.kantone.cadastralwebmap-farbe,ch.swisstopo.amtliches-strassenverzeichnis,ch.bfs.gebaeude_wohnungs_register,KML||https://tinyurl.com/yy7ya4g9/BE/0581_bdg_erw.kml" TargetMode="External"/><Relationship Id="rId1092" Type="http://schemas.openxmlformats.org/officeDocument/2006/relationships/hyperlink" Target="https://map.geo.admin.ch/?zoom=13&amp;E=2618743&amp;N=1230688.125&amp;layers=ch.kantone.cadastralwebmap-farbe,ch.swisstopo.amtliches-strassenverzeichnis,ch.bfs.gebaeude_wohnungs_register,KML||https://tinyurl.com/yy7ya4g9/BE/0991_bdg_erw.kml" TargetMode="External"/><Relationship Id="rId1106" Type="http://schemas.openxmlformats.org/officeDocument/2006/relationships/hyperlink" Target="https://map.geo.admin.ch/?zoom=13&amp;E=2618588&amp;N=1231214.375&amp;layers=ch.kantone.cadastralwebmap-farbe,ch.swisstopo.amtliches-strassenverzeichnis,ch.bfs.gebaeude_wohnungs_register,KML||https://tinyurl.com/yy7ya4g9/BE/0991_bdg_erw.kml" TargetMode="External"/><Relationship Id="rId115" Type="http://schemas.openxmlformats.org/officeDocument/2006/relationships/hyperlink" Target="https://map.geo.admin.ch/?zoom=13&amp;E=2604459&amp;N=1203759&amp;layers=ch.kantone.cadastralwebmap-farbe,ch.swisstopo.amtliches-strassenverzeichnis,ch.bfs.gebaeude_wohnungs_register,KML||https://tinyurl.com/yy7ya4g9/BE/0352_bdg_erw.kml" TargetMode="External"/><Relationship Id="rId322" Type="http://schemas.openxmlformats.org/officeDocument/2006/relationships/hyperlink" Target="https://map.geo.admin.ch/?zoom=13&amp;E=2600489.75&amp;N=1206456.25&amp;layers=ch.kantone.cadastralwebmap-farbe,ch.swisstopo.amtliches-strassenverzeichnis,ch.bfs.gebaeude_wohnungs_register,KML||https://tinyurl.com/yy7ya4g9/BE/0546_bdg_erw.kml" TargetMode="External"/><Relationship Id="rId767" Type="http://schemas.openxmlformats.org/officeDocument/2006/relationships/hyperlink" Target="https://map.geo.admin.ch/?zoom=13&amp;E=2603029.25&amp;N=1189065.625&amp;layers=ch.kantone.cadastralwebmap-farbe,ch.swisstopo.amtliches-strassenverzeichnis,ch.bfs.gebaeude_wohnungs_register,KML||https://tinyurl.com/yy7ya4g9/BE/0877_bdg_erw.kml" TargetMode="External"/><Relationship Id="rId974" Type="http://schemas.openxmlformats.org/officeDocument/2006/relationships/hyperlink" Target="https://map.geo.admin.ch/?zoom=13&amp;E=2611011&amp;N=1180659&amp;layers=ch.kantone.cadastralwebmap-farbe,ch.swisstopo.amtliches-strassenverzeichnis,ch.bfs.gebaeude_wohnungs_register,KML||https://tinyurl.com/yy7ya4g9/BE/0944_bdg_erw.kml" TargetMode="External"/><Relationship Id="rId199" Type="http://schemas.openxmlformats.org/officeDocument/2006/relationships/hyperlink" Target="https://map.geo.admin.ch/?zoom=13&amp;E=2593987.5&amp;N=1225491.375&amp;layers=ch.kantone.cadastralwebmap-farbe,ch.swisstopo.amtliches-strassenverzeichnis,ch.bfs.gebaeude_wohnungs_register,KML||https://tinyurl.com/yy7ya4g9/BE/0387_bdg_erw.kml" TargetMode="External"/><Relationship Id="rId627" Type="http://schemas.openxmlformats.org/officeDocument/2006/relationships/hyperlink" Target="https://map.geo.admin.ch/?zoom=13&amp;E=2607467&amp;N=1160981&amp;layers=ch.kantone.cadastralwebmap-farbe,ch.swisstopo.amtliches-strassenverzeichnis,ch.bfs.gebaeude_wohnungs_register,KML||https://tinyurl.com/yy7ya4g9/BE/0762_bdg_erw.kml" TargetMode="External"/><Relationship Id="rId834" Type="http://schemas.openxmlformats.org/officeDocument/2006/relationships/hyperlink" Target="https://map.geo.admin.ch/?zoom=13&amp;E=2604562&amp;N=1179240&amp;layers=ch.kantone.cadastralwebmap-farbe,ch.swisstopo.amtliches-strassenverzeichnis,ch.bfs.gebaeude_wohnungs_register,KML||https://tinyurl.com/yy7ya4g9/BE/0886_bdg_erw.kml" TargetMode="External"/><Relationship Id="rId266" Type="http://schemas.openxmlformats.org/officeDocument/2006/relationships/hyperlink" Target="https://map.geo.admin.ch/?zoom=13&amp;E=2610767.674&amp;N=1214714.139&amp;layers=ch.kantone.cadastralwebmap-farbe,ch.swisstopo.amtliches-strassenverzeichnis,ch.bfs.gebaeude_wohnungs_register,KML||https://tinyurl.com/yy7ya4g9/BE/0420_bdg_erw.kml" TargetMode="External"/><Relationship Id="rId473" Type="http://schemas.openxmlformats.org/officeDocument/2006/relationships/hyperlink" Target="https://map.geo.admin.ch/?zoom=13&amp;E=2642300.028&amp;N=1178159.594&amp;layers=ch.kantone.cadastralwebmap-farbe,ch.swisstopo.amtliches-strassenverzeichnis,ch.bfs.gebaeude_wohnungs_register,KML||https://tinyurl.com/yy7ya4g9/BE/0589_bdg_erw.kml" TargetMode="External"/><Relationship Id="rId680" Type="http://schemas.openxmlformats.org/officeDocument/2006/relationships/hyperlink" Target="https://map.geo.admin.ch/?zoom=13&amp;E=2592091&amp;N=1180727.25&amp;layers=ch.kantone.cadastralwebmap-farbe,ch.swisstopo.amtliches-strassenverzeichnis,ch.bfs.gebaeude_wohnungs_register,KML||https://tinyurl.com/yy7ya4g9/BE/0852_bdg_erw.kml" TargetMode="External"/><Relationship Id="rId901" Type="http://schemas.openxmlformats.org/officeDocument/2006/relationships/hyperlink" Target="https://map.geo.admin.ch/?zoom=13&amp;E=2618805&amp;N=1178217&amp;layers=ch.kantone.cadastralwebmap-farbe,ch.swisstopo.amtliches-strassenverzeichnis,ch.bfs.gebaeude_wohnungs_register,KML||https://tinyurl.com/yy7ya4g9/BE/0927_bdg_erw.kml" TargetMode="External"/><Relationship Id="rId1117" Type="http://schemas.openxmlformats.org/officeDocument/2006/relationships/hyperlink" Target="https://map.geo.admin.ch/?zoom=13&amp;E=2618110&amp;N=1231069.75&amp;layers=ch.kantone.cadastralwebmap-farbe,ch.swisstopo.amtliches-strassenverzeichnis,ch.bfs.gebaeude_wohnungs_register,KML||https://tinyurl.com/yy7ya4g9/BE/0991_bdg_erw.kml" TargetMode="External"/><Relationship Id="rId30" Type="http://schemas.openxmlformats.org/officeDocument/2006/relationships/hyperlink" Target="https://map.geo.admin.ch/?zoom=13&amp;E=2590185&amp;N=1214037&amp;layers=ch.kantone.cadastralwebmap-farbe,ch.swisstopo.amtliches-strassenverzeichnis,ch.bfs.gebaeude_wohnungs_register,KML||https://tinyurl.com/yy7ya4g9/BE/0306_bdg_erw.kml" TargetMode="External"/><Relationship Id="rId126" Type="http://schemas.openxmlformats.org/officeDocument/2006/relationships/hyperlink" Target="https://map.geo.admin.ch/?zoom=13&amp;E=2610825.2&amp;N=1203179.7&amp;layers=ch.kantone.cadastralwebmap-farbe,ch.swisstopo.amtliches-strassenverzeichnis,ch.bfs.gebaeude_wohnungs_register,KML||https://tinyurl.com/yy7ya4g9/BE/0359_bdg_erw.kml" TargetMode="External"/><Relationship Id="rId333" Type="http://schemas.openxmlformats.org/officeDocument/2006/relationships/hyperlink" Target="https://map.geo.admin.ch/?zoom=13&amp;E=2615745.681&amp;N=1159203.521&amp;layers=ch.kantone.cadastralwebmap-farbe,ch.swisstopo.amtliches-strassenverzeichnis,ch.bfs.gebaeude_wohnungs_register,KML||https://tinyurl.com/yy7ya4g9/BE/0563_bdg_erw.kml" TargetMode="External"/><Relationship Id="rId540" Type="http://schemas.openxmlformats.org/officeDocument/2006/relationships/hyperlink" Target="https://map.geo.admin.ch/?zoom=13&amp;E=2610351.219&amp;N=1188669.152&amp;layers=ch.kantone.cadastralwebmap-farbe,ch.swisstopo.amtliches-strassenverzeichnis,ch.bfs.gebaeude_wohnungs_register,KML||https://tinyurl.com/yy7ya4g9/BE/0632_bdg_erw.kml" TargetMode="External"/><Relationship Id="rId778" Type="http://schemas.openxmlformats.org/officeDocument/2006/relationships/hyperlink" Target="https://map.geo.admin.ch/?zoom=13&amp;E=2603344&amp;N=1184287&amp;layers=ch.kantone.cadastralwebmap-farbe,ch.swisstopo.amtliches-strassenverzeichnis,ch.bfs.gebaeude_wohnungs_register,KML||https://tinyurl.com/yy7ya4g9/BE/0879_bdg_erw.kml" TargetMode="External"/><Relationship Id="rId985" Type="http://schemas.openxmlformats.org/officeDocument/2006/relationships/hyperlink" Target="https://map.geo.admin.ch/?zoom=13&amp;E=2623787.875&amp;N=1212190.125&amp;layers=ch.kantone.cadastralwebmap-farbe,ch.swisstopo.amtliches-strassenverzeichnis,ch.bfs.gebaeude_wohnungs_register,KML||https://tinyurl.com/yy7ya4g9/BE/0951_bdg_erw.kml" TargetMode="External"/><Relationship Id="rId638" Type="http://schemas.openxmlformats.org/officeDocument/2006/relationships/hyperlink" Target="https://map.geo.admin.ch/?zoom=13&amp;E=2607079.721&amp;N=1154027.98&amp;layers=ch.kantone.cadastralwebmap-farbe,ch.swisstopo.amtliches-strassenverzeichnis,ch.bfs.gebaeude_wohnungs_register,KML||https://tinyurl.com/yy7ya4g9/BE/0762_bdg_erw.kml" TargetMode="External"/><Relationship Id="rId845" Type="http://schemas.openxmlformats.org/officeDocument/2006/relationships/hyperlink" Target="https://map.geo.admin.ch/?zoom=13&amp;E=2604264&amp;N=1180354&amp;layers=ch.kantone.cadastralwebmap-farbe,ch.swisstopo.amtliches-strassenverzeichnis,ch.bfs.gebaeude_wohnungs_register,KML||https://tinyurl.com/yy7ya4g9/BE/0886_bdg_erw.kml" TargetMode="External"/><Relationship Id="rId1030" Type="http://schemas.openxmlformats.org/officeDocument/2006/relationships/hyperlink" Target="https://map.geo.admin.ch/?zoom=13&amp;E=2623360.75&amp;N=1216387.25&amp;layers=ch.kantone.cadastralwebmap-farbe,ch.swisstopo.amtliches-strassenverzeichnis,ch.bfs.gebaeude_wohnungs_register,KML||https://tinyurl.com/yy7ya4g9/BE/0959_bdg_erw.kml" TargetMode="External"/><Relationship Id="rId277" Type="http://schemas.openxmlformats.org/officeDocument/2006/relationships/hyperlink" Target="https://map.geo.admin.ch/?zoom=13&amp;E=2610096.25&amp;N=1215411.75&amp;layers=ch.kantone.cadastralwebmap-farbe,ch.swisstopo.amtliches-strassenverzeichnis,ch.bfs.gebaeude_wohnungs_register,KML||https://tinyurl.com/yy7ya4g9/BE/0420_bdg_erw.kml" TargetMode="External"/><Relationship Id="rId400" Type="http://schemas.openxmlformats.org/officeDocument/2006/relationships/hyperlink" Target="https://map.geo.admin.ch/?zoom=13&amp;E=2624353&amp;N=1156170&amp;layers=ch.kantone.cadastralwebmap-farbe,ch.swisstopo.amtliches-strassenverzeichnis,ch.bfs.gebaeude_wohnungs_register,KML||https://tinyurl.com/yy7ya4g9/BE/0567_bdg_erw.kml" TargetMode="External"/><Relationship Id="rId484" Type="http://schemas.openxmlformats.org/officeDocument/2006/relationships/hyperlink" Target="https://map.geo.admin.ch/?zoom=13&amp;E=2630816.75&amp;N=1170482.625&amp;layers=ch.kantone.cadastralwebmap-farbe,ch.swisstopo.amtliches-strassenverzeichnis,ch.bfs.gebaeude_wohnungs_register,KML||https://tinyurl.com/yy7ya4g9/BE/0593_bdg_erw.kml" TargetMode="External"/><Relationship Id="rId705" Type="http://schemas.openxmlformats.org/officeDocument/2006/relationships/hyperlink" Target="https://map.geo.admin.ch/?zoom=13&amp;E=2607966.424&amp;N=1187679.716&amp;layers=ch.kantone.cadastralwebmap-farbe,ch.swisstopo.amtliches-strassenverzeichnis,ch.bfs.gebaeude_wohnungs_register,KML||https://tinyurl.com/yy7ya4g9/BE/0866_bdg_erw.kml" TargetMode="External"/><Relationship Id="rId1128" Type="http://schemas.openxmlformats.org/officeDocument/2006/relationships/hyperlink" Target="https://map.geo.admin.ch/?zoom=13&amp;E=2617777.25&amp;N=1231048.625&amp;layers=ch.kantone.cadastralwebmap-farbe,ch.swisstopo.amtliches-strassenverzeichnis,ch.bfs.gebaeude_wohnungs_register,KML||https://tinyurl.com/yy7ya4g9/BE/0991_bdg_erw.kml" TargetMode="External"/><Relationship Id="rId137" Type="http://schemas.openxmlformats.org/officeDocument/2006/relationships/hyperlink" Target="https://map.geo.admin.ch/?zoom=13&amp;E=2594467.5&amp;N=1202136.625&amp;layers=ch.kantone.cadastralwebmap-farbe,ch.swisstopo.amtliches-strassenverzeichnis,ch.bfs.gebaeude_wohnungs_register,KML||https://tinyurl.com/yy7ya4g9/BE/0360_bdg_erw.kml" TargetMode="External"/><Relationship Id="rId344" Type="http://schemas.openxmlformats.org/officeDocument/2006/relationships/hyperlink" Target="https://map.geo.admin.ch/?zoom=13&amp;E=2612435.746&amp;N=1154409.915&amp;layers=ch.kantone.cadastralwebmap-farbe,ch.swisstopo.amtliches-strassenverzeichnis,ch.bfs.gebaeude_wohnungs_register,KML||https://tinyurl.com/yy7ya4g9/BE/0563_bdg_erw.kml" TargetMode="External"/><Relationship Id="rId691" Type="http://schemas.openxmlformats.org/officeDocument/2006/relationships/hyperlink" Target="https://map.geo.admin.ch/?zoom=13&amp;E=2597823.041&amp;N=1180914.541&amp;layers=ch.kantone.cadastralwebmap-farbe,ch.swisstopo.amtliches-strassenverzeichnis,ch.bfs.gebaeude_wohnungs_register,KML||https://tinyurl.com/yy7ya4g9/BE/0853_bdg_erw.kml" TargetMode="External"/><Relationship Id="rId789" Type="http://schemas.openxmlformats.org/officeDocument/2006/relationships/hyperlink" Target="https://map.geo.admin.ch/?zoom=13&amp;E=2600000&amp;N=1185680&amp;layers=ch.kantone.cadastralwebmap-farbe,ch.swisstopo.amtliches-strassenverzeichnis,ch.bfs.gebaeude_wohnungs_register,KML||https://tinyurl.com/yy7ya4g9/BE/0880_bdg_erw.kml" TargetMode="External"/><Relationship Id="rId912" Type="http://schemas.openxmlformats.org/officeDocument/2006/relationships/hyperlink" Target="https://map.geo.admin.ch/?zoom=13&amp;E=2621355.25&amp;N=1182805.5&amp;layers=ch.kantone.cadastralwebmap-farbe,ch.swisstopo.amtliches-strassenverzeichnis,ch.bfs.gebaeude_wohnungs_register,KML||https://tinyurl.com/yy7ya4g9/BE/0935_bdg_erw.kml" TargetMode="External"/><Relationship Id="rId996" Type="http://schemas.openxmlformats.org/officeDocument/2006/relationships/hyperlink" Target="https://map.geo.admin.ch/?zoom=13&amp;E=2630664.204&amp;N=1218169.997&amp;layers=ch.kantone.cadastralwebmap-farbe,ch.swisstopo.amtliches-strassenverzeichnis,ch.bfs.gebaeude_wohnungs_register,KML||https://tinyurl.com/yy7ya4g9/BE/0954_bdg_erw.kml" TargetMode="External"/><Relationship Id="rId41" Type="http://schemas.openxmlformats.org/officeDocument/2006/relationships/hyperlink" Target="https://map.geo.admin.ch/?zoom=13&amp;E=2597434&amp;N=1212625&amp;layers=ch.kantone.cadastralwebmap-farbe,ch.swisstopo.amtliches-strassenverzeichnis,ch.bfs.gebaeude_wohnungs_register,KML||https://tinyurl.com/yy7ya4g9/BE/0310_bdg_erw.kml" TargetMode="External"/><Relationship Id="rId551" Type="http://schemas.openxmlformats.org/officeDocument/2006/relationships/hyperlink" Target="https://map.geo.admin.ch/?zoom=13&amp;E=2584737.75&amp;N=1194345.375&amp;layers=ch.kantone.cadastralwebmap-farbe,ch.swisstopo.amtliches-strassenverzeichnis,ch.bfs.gebaeude_wohnungs_register,KML||https://tinyurl.com/yy7ya4g9/BE/0667_bdg_erw.kml" TargetMode="External"/><Relationship Id="rId649" Type="http://schemas.openxmlformats.org/officeDocument/2006/relationships/hyperlink" Target="https://map.geo.admin.ch/?zoom=13&amp;E=2619737.25&amp;N=1168935.125&amp;layers=ch.kantone.cadastralwebmap-farbe,ch.swisstopo.amtliches-strassenverzeichnis,ch.bfs.gebaeude_wohnungs_register,KML||https://tinyurl.com/yy7ya4g9/BE/0768_bdg_erw.kml" TargetMode="External"/><Relationship Id="rId856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190" Type="http://schemas.openxmlformats.org/officeDocument/2006/relationships/hyperlink" Target="https://map.geo.admin.ch/?zoom=13&amp;E=2587923.5&amp;N=1222969.93&amp;layers=ch.kantone.cadastralwebmap-farbe,ch.swisstopo.amtliches-strassenverzeichnis,ch.bfs.gebaeude_wohnungs_register,KML||https://tinyurl.com/yy7ya4g9/BE/0371_bdg_erw.kml" TargetMode="External"/><Relationship Id="rId204" Type="http://schemas.openxmlformats.org/officeDocument/2006/relationships/hyperlink" Target="https://map.geo.admin.ch/?zoom=13&amp;E=2600901.5&amp;N=1225062&amp;layers=ch.kantone.cadastralwebmap-farbe,ch.swisstopo.amtliches-strassenverzeichnis,ch.bfs.gebaeude_wohnungs_register,KML||https://tinyurl.com/yy7ya4g9/BE/0388_bdg_erw.kml" TargetMode="External"/><Relationship Id="rId288" Type="http://schemas.openxmlformats.org/officeDocument/2006/relationships/hyperlink" Target="https://map.geo.admin.ch/?zoom=13&amp;E=2567824.5&amp;N=1219316.75&amp;layers=ch.kantone.cadastralwebmap-farbe,ch.swisstopo.amtliches-strassenverzeichnis,ch.bfs.gebaeude_wohnungs_register,KML||https://tinyurl.com/yy7ya4g9/BE/0443_bdg_erw.kml" TargetMode="External"/><Relationship Id="rId411" Type="http://schemas.openxmlformats.org/officeDocument/2006/relationships/hyperlink" Target="https://map.geo.admin.ch/?zoom=13&amp;E=2620662&amp;N=1158800&amp;layers=ch.kantone.cadastralwebmap-farbe,ch.swisstopo.amtliches-strassenverzeichnis,ch.bfs.gebaeude_wohnungs_register,KML||https://tinyurl.com/yy7ya4g9/BE/0567_bdg_erw.kml" TargetMode="External"/><Relationship Id="rId509" Type="http://schemas.openxmlformats.org/officeDocument/2006/relationships/hyperlink" Target="https://map.geo.admin.ch/?zoom=13&amp;E=2608936.342&amp;N=1191265.488&amp;layers=ch.kantone.cadastralwebmap-farbe,ch.swisstopo.amtliches-strassenverzeichnis,ch.bfs.gebaeude_wohnungs_register,KML||https://tinyurl.com/yy7ya4g9/BE/0616_bdg_erw.kml" TargetMode="External"/><Relationship Id="rId1041" Type="http://schemas.openxmlformats.org/officeDocument/2006/relationships/hyperlink" Target="https://map.geo.admin.ch/?zoom=13&amp;E=2625543.293&amp;N=1217403.988&amp;layers=ch.kantone.cadastralwebmap-farbe,ch.swisstopo.amtliches-strassenverzeichnis,ch.bfs.gebaeude_wohnungs_register,KML||https://tinyurl.com/yy7ya4g9/BE/0959_bdg_erw.kml" TargetMode="External"/><Relationship Id="rId495" Type="http://schemas.openxmlformats.org/officeDocument/2006/relationships/hyperlink" Target="https://map.geo.admin.ch/?zoom=13&amp;E=2611730&amp;N=1190140&amp;layers=ch.kantone.cadastralwebmap-farbe,ch.swisstopo.amtliches-strassenverzeichnis,ch.bfs.gebaeude_wohnungs_register,KML||https://tinyurl.com/yy7ya4g9/BE/0609_bdg_erw.kml" TargetMode="External"/><Relationship Id="rId716" Type="http://schemas.openxmlformats.org/officeDocument/2006/relationships/hyperlink" Target="https://map.geo.admin.ch/?zoom=13&amp;E=2602574&amp;N=1195839&amp;layers=ch.kantone.cadastralwebmap-farbe,ch.swisstopo.amtliches-strassenverzeichnis,ch.bfs.gebaeude_wohnungs_register,KML||https://tinyurl.com/yy7ya4g9/BE/0870_bdg_erw.kml" TargetMode="External"/><Relationship Id="rId923" Type="http://schemas.openxmlformats.org/officeDocument/2006/relationships/hyperlink" Target="https://map.geo.admin.ch/?zoom=13&amp;E=2619450&amp;N=1174017&amp;layers=ch.kantone.cadastralwebmap-farbe,ch.swisstopo.amtliches-strassenverzeichnis,ch.bfs.gebaeude_wohnungs_register,KML||https://tinyurl.com/yy7ya4g9/BE/0938_bdg_erw.kml" TargetMode="External"/><Relationship Id="rId52" Type="http://schemas.openxmlformats.org/officeDocument/2006/relationships/hyperlink" Target="https://map.geo.admin.ch/?zoom=13&amp;E=2633353&amp;N=1220317.5&amp;layers=ch.kantone.cadastralwebmap-farbe,ch.swisstopo.amtliches-strassenverzeichnis,ch.bfs.gebaeude_wohnungs_register,KML||https://tinyurl.com/yy7ya4g9/BE/0326_bdg_erw.kml" TargetMode="External"/><Relationship Id="rId148" Type="http://schemas.openxmlformats.org/officeDocument/2006/relationships/hyperlink" Target="https://map.geo.admin.ch/?zoom=13&amp;E=2603309.131&amp;N=1203177.128&amp;layers=ch.kantone.cadastralwebmap-farbe,ch.swisstopo.amtliches-strassenverzeichnis,ch.bfs.gebaeude_wohnungs_register,KML||https://tinyurl.com/yy7ya4g9/BE/0362_bdg_erw.kml" TargetMode="External"/><Relationship Id="rId355" Type="http://schemas.openxmlformats.org/officeDocument/2006/relationships/hyperlink" Target="https://map.geo.admin.ch/?zoom=13&amp;E=2616418&amp;N=1160572&amp;layers=ch.kantone.cadastralwebmap-farbe,ch.swisstopo.amtliches-strassenverzeichnis,ch.bfs.gebaeude_wohnungs_register,KML||https://tinyurl.com/yy7ya4g9/BE/0563_bdg_erw.kml" TargetMode="External"/><Relationship Id="rId562" Type="http://schemas.openxmlformats.org/officeDocument/2006/relationships/hyperlink" Target="https://map.geo.admin.ch/?zoom=13&amp;E=2574716.75&amp;N=1213338.625&amp;layers=ch.kantone.cadastralwebmap-farbe,ch.swisstopo.amtliches-strassenverzeichnis,ch.bfs.gebaeude_wohnungs_register,KML||https://tinyurl.com/yy7ya4g9/BE/0723_bdg_erw.kml" TargetMode="External"/><Relationship Id="rId215" Type="http://schemas.openxmlformats.org/officeDocument/2006/relationships/hyperlink" Target="https://map.geo.admin.ch/?zoom=13&amp;E=2592603&amp;N=1224954&amp;layers=ch.kantone.cadastralwebmap-farbe,ch.swisstopo.amtliches-strassenverzeichnis,ch.bfs.gebaeude_wohnungs_register,KML||https://tinyurl.com/yy7ya4g9/BE/0392_bdg_erw.kml" TargetMode="External"/><Relationship Id="rId422" Type="http://schemas.openxmlformats.org/officeDocument/2006/relationships/hyperlink" Target="https://map.geo.admin.ch/?zoom=13&amp;E=2617063&amp;N=1164514&amp;layers=ch.kantone.cadastralwebmap-farbe,ch.swisstopo.amtliches-strassenverzeichnis,ch.bfs.gebaeude_wohnungs_register,KML||https://tinyurl.com/yy7ya4g9/BE/0567_bdg_erw.kml" TargetMode="External"/><Relationship Id="rId867" Type="http://schemas.openxmlformats.org/officeDocument/2006/relationships/hyperlink" Target="https://map.geo.admin.ch/?zoom=13&amp;E=2628247.628&amp;N=1197651.934&amp;layers=ch.kantone.cadastralwebmap-farbe,ch.swisstopo.amtliches-strassenverzeichnis,ch.bfs.gebaeude_wohnungs_register,KML||https://tinyurl.com/yy7ya4g9/BE/0902_bdg_erw.kml" TargetMode="External"/><Relationship Id="rId1052" Type="http://schemas.openxmlformats.org/officeDocument/2006/relationships/hyperlink" Target="https://map.geo.admin.ch/?zoom=13&amp;E=2625478.074&amp;N=1216419.829&amp;layers=ch.kantone.cadastralwebmap-farbe,ch.swisstopo.amtliches-strassenverzeichnis,ch.bfs.gebaeude_wohnungs_register,KML||https://tinyurl.com/yy7ya4g9/BE/0959_bdg_erw.kml" TargetMode="External"/><Relationship Id="rId299" Type="http://schemas.openxmlformats.org/officeDocument/2006/relationships/hyperlink" Target="https://map.geo.admin.ch/?zoom=13&amp;E=2574603&amp;N=1205502&amp;layers=ch.kantone.cadastralwebmap-farbe,ch.swisstopo.amtliches-strassenverzeichnis,ch.bfs.gebaeude_wohnungs_register,KML||https://tinyurl.com/yy7ya4g9/BE/0496_bdg_erw.kml" TargetMode="External"/><Relationship Id="rId727" Type="http://schemas.openxmlformats.org/officeDocument/2006/relationships/hyperlink" Target="https://map.geo.admin.ch/?zoom=13&amp;E=2606635&amp;N=1187971&amp;layers=ch.kantone.cadastralwebmap-farbe,ch.swisstopo.amtliches-strassenverzeichnis,ch.bfs.gebaeude_wohnungs_register,KML||https://tinyurl.com/yy7ya4g9/BE/0872_bdg_erw.kml" TargetMode="External"/><Relationship Id="rId934" Type="http://schemas.openxmlformats.org/officeDocument/2006/relationships/hyperlink" Target="https://map.geo.admin.ch/?zoom=13&amp;E=2615010&amp;N=1181015&amp;layers=ch.kantone.cadastralwebmap-farbe,ch.swisstopo.amtliches-strassenverzeichnis,ch.bfs.gebaeude_wohnungs_register,KML||https://tinyurl.com/yy7ya4g9/BE/0939_bdg_erw.kml" TargetMode="External"/><Relationship Id="rId63" Type="http://schemas.openxmlformats.org/officeDocument/2006/relationships/hyperlink" Target="https://map.geo.admin.ch/?zoom=13&amp;E=2626300.731&amp;N=1226814.742&amp;layers=ch.kantone.cadastralwebmap-farbe,ch.swisstopo.amtliches-strassenverzeichnis,ch.bfs.gebaeude_wohnungs_register,KML||https://tinyurl.com/yy7ya4g9/BE/0331_bdg_erw.kml" TargetMode="External"/><Relationship Id="rId159" Type="http://schemas.openxmlformats.org/officeDocument/2006/relationships/hyperlink" Target="https://map.geo.admin.ch/?zoom=13&amp;E=2584921.078&amp;N=1220650.268&amp;layers=ch.kantone.cadastralwebmap-farbe,ch.swisstopo.amtliches-strassenverzeichnis,ch.bfs.gebaeude_wohnungs_register,KML||https://tinyurl.com/yy7ya4g9/BE/0371_bdg_erw.kml" TargetMode="External"/><Relationship Id="rId366" Type="http://schemas.openxmlformats.org/officeDocument/2006/relationships/hyperlink" Target="https://map.geo.admin.ch/?zoom=13&amp;E=2612065.5&amp;N=1152802.75&amp;layers=ch.kantone.cadastralwebmap-farbe,ch.swisstopo.amtliches-strassenverzeichnis,ch.bfs.gebaeude_wohnungs_register,KML||https://tinyurl.com/yy7ya4g9/BE/0563_bdg_erw.kml" TargetMode="External"/><Relationship Id="rId573" Type="http://schemas.openxmlformats.org/officeDocument/2006/relationships/hyperlink" Target="https://map.geo.admin.ch/?zoom=13&amp;E=2588886.353&amp;N=1218640.616&amp;layers=ch.kantone.cadastralwebmap-farbe,ch.swisstopo.amtliches-strassenverzeichnis,ch.bfs.gebaeude_wohnungs_register,KML||https://tinyurl.com/yy7ya4g9/BE/0731_bdg_erw.kml" TargetMode="External"/><Relationship Id="rId780" Type="http://schemas.openxmlformats.org/officeDocument/2006/relationships/hyperlink" Target="https://map.geo.admin.ch/?zoom=13&amp;E=2602880.536&amp;N=1184342.435&amp;layers=ch.kantone.cadastralwebmap-farbe,ch.swisstopo.amtliches-strassenverzeichnis,ch.bfs.gebaeude_wohnungs_register,KML||https://tinyurl.com/yy7ya4g9/BE/0879_bdg_erw.kml" TargetMode="External"/><Relationship Id="rId226" Type="http://schemas.openxmlformats.org/officeDocument/2006/relationships/hyperlink" Target="https://map.geo.admin.ch/?zoom=13&amp;E=2613513&amp;N=1212642&amp;layers=ch.kantone.cadastralwebmap-farbe,ch.swisstopo.amtliches-strassenverzeichnis,ch.bfs.gebaeude_wohnungs_register,KML||https://tinyurl.com/yy7ya4g9/BE/0404_bdg_erw.kml" TargetMode="External"/><Relationship Id="rId433" Type="http://schemas.openxmlformats.org/officeDocument/2006/relationships/hyperlink" Target="https://map.geo.admin.ch/?zoom=13&amp;E=2618544&amp;N=1163463&amp;layers=ch.kantone.cadastralwebmap-farbe,ch.swisstopo.amtliches-strassenverzeichnis,ch.bfs.gebaeude_wohnungs_register,KML||https://tinyurl.com/yy7ya4g9/BE/0567_bdg_erw.kml" TargetMode="External"/><Relationship Id="rId878" Type="http://schemas.openxmlformats.org/officeDocument/2006/relationships/hyperlink" Target="https://map.geo.admin.ch/?zoom=13&amp;E=2620269.5&amp;N=1204097.875&amp;layers=ch.kantone.cadastralwebmap-farbe,ch.swisstopo.amtliches-strassenverzeichnis,ch.bfs.gebaeude_wohnungs_register,KML||https://tinyurl.com/yy7ya4g9/BE/0905_bdg_erw.kml" TargetMode="External"/><Relationship Id="rId1063" Type="http://schemas.openxmlformats.org/officeDocument/2006/relationships/hyperlink" Target="https://map.geo.admin.ch/?zoom=13&amp;E=2623525.969&amp;N=1216484.279&amp;layers=ch.kantone.cadastralwebmap-farbe,ch.swisstopo.amtliches-strassenverzeichnis,ch.bfs.gebaeude_wohnungs_register,KML||https://tinyurl.com/yy7ya4g9/BE/0959_bdg_erw.kml" TargetMode="External"/><Relationship Id="rId640" Type="http://schemas.openxmlformats.org/officeDocument/2006/relationships/hyperlink" Target="https://map.geo.admin.ch/?zoom=13&amp;E=2608677&amp;N=1163155.375&amp;layers=ch.kantone.cadastralwebmap-farbe,ch.swisstopo.amtliches-strassenverzeichnis,ch.bfs.gebaeude_wohnungs_register,KML||https://tinyurl.com/yy7ya4g9/BE/0762_bdg_erw.kml" TargetMode="External"/><Relationship Id="rId738" Type="http://schemas.openxmlformats.org/officeDocument/2006/relationships/hyperlink" Target="https://map.geo.admin.ch/?zoom=13&amp;E=2601657.75&amp;N=1189629.625&amp;layers=ch.kantone.cadastralwebmap-farbe,ch.swisstopo.amtliches-strassenverzeichnis,ch.bfs.gebaeude_wohnungs_register,KML||https://tinyurl.com/yy7ya4g9/BE/0877_bdg_erw.kml" TargetMode="External"/><Relationship Id="rId945" Type="http://schemas.openxmlformats.org/officeDocument/2006/relationships/hyperlink" Target="https://map.geo.admin.ch/?zoom=13&amp;E=2612915.423&amp;N=1179983.984&amp;layers=ch.kantone.cadastralwebmap-farbe,ch.swisstopo.amtliches-strassenverzeichnis,ch.bfs.gebaeude_wohnungs_register,KML||https://tinyurl.com/yy7ya4g9/BE/0939_bdg_erw.kml" TargetMode="External"/><Relationship Id="rId74" Type="http://schemas.openxmlformats.org/officeDocument/2006/relationships/hyperlink" Target="https://map.geo.admin.ch/?zoom=13&amp;E=2630818.75&amp;N=1223919&amp;layers=ch.kantone.cadastralwebmap-farbe,ch.swisstopo.amtliches-strassenverzeichnis,ch.bfs.gebaeude_wohnungs_register,KML||https://tinyurl.com/yy7ya4g9/BE/0336_bdg_erw.kml" TargetMode="External"/><Relationship Id="rId377" Type="http://schemas.openxmlformats.org/officeDocument/2006/relationships/hyperlink" Target="https://map.geo.admin.ch/?zoom=13&amp;E=2611304.75&amp;N=1152593.625&amp;layers=ch.kantone.cadastralwebmap-farbe,ch.swisstopo.amtliches-strassenverzeichnis,ch.bfs.gebaeude_wohnungs_register,KML||https://tinyurl.com/yy7ya4g9/BE/0563_bdg_erw.kml" TargetMode="External"/><Relationship Id="rId500" Type="http://schemas.openxmlformats.org/officeDocument/2006/relationships/hyperlink" Target="https://map.geo.admin.ch/?zoom=13&amp;E=2611122&amp;N=1191811&amp;layers=ch.kantone.cadastralwebmap-farbe,ch.swisstopo.amtliches-strassenverzeichnis,ch.bfs.gebaeude_wohnungs_register,KML||https://tinyurl.com/yy7ya4g9/BE/0616_bdg_erw.kml" TargetMode="External"/><Relationship Id="rId584" Type="http://schemas.openxmlformats.org/officeDocument/2006/relationships/hyperlink" Target="https://map.geo.admin.ch/?zoom=13&amp;E=2582921&amp;N=1212970&amp;layers=ch.kantone.cadastralwebmap-farbe,ch.swisstopo.amtliches-strassenverzeichnis,ch.bfs.gebaeude_wohnungs_register,KML||https://tinyurl.com/yy7ya4g9/BE/0735_bdg_erw.kml" TargetMode="External"/><Relationship Id="rId805" Type="http://schemas.openxmlformats.org/officeDocument/2006/relationships/hyperlink" Target="https://map.geo.admin.ch/?zoom=13&amp;E=2605619&amp;N=1178163&amp;layers=ch.kantone.cadastralwebmap-farbe,ch.swisstopo.amtliches-strassenverzeichnis,ch.bfs.gebaeude_wohnungs_register,KML||https://tinyurl.com/yy7ya4g9/BE/0886_bdg_erw.kml" TargetMode="External"/><Relationship Id="rId1130" Type="http://schemas.openxmlformats.org/officeDocument/2006/relationships/hyperlink" Target="https://map.geo.admin.ch/?zoom=13&amp;E=2616398&amp;N=1231831&amp;layers=ch.kantone.cadastralwebmap-farbe,ch.swisstopo.amtliches-strassenverzeichnis,ch.bfs.gebaeude_wohnungs_register,KML||https://tinyurl.com/yy7ya4g9/BE/0992_bdg_erw.kml" TargetMode="External"/><Relationship Id="rId5" Type="http://schemas.openxmlformats.org/officeDocument/2006/relationships/hyperlink" Target="https://map.geo.admin.ch/?zoom=13&amp;E=2588273&amp;N=1211118&amp;layers=ch.kantone.cadastralwebmap-farbe,ch.swisstopo.amtliches-strassenverzeichnis,ch.bfs.gebaeude_wohnungs_register,KML||https://tinyurl.com/yy7ya4g9/BE/0301_bdg_erw.kml" TargetMode="External"/><Relationship Id="rId237" Type="http://schemas.openxmlformats.org/officeDocument/2006/relationships/hyperlink" Target="https://map.geo.admin.ch/?zoom=13&amp;E=2612570.338&amp;N=1212746.552&amp;layers=ch.kantone.cadastralwebmap-farbe,ch.swisstopo.amtliches-strassenverzeichnis,ch.bfs.gebaeude_wohnungs_register,KML||https://tinyurl.com/yy7ya4g9/BE/0404_bdg_erw.kml" TargetMode="External"/><Relationship Id="rId791" Type="http://schemas.openxmlformats.org/officeDocument/2006/relationships/hyperlink" Target="https://map.geo.admin.ch/?zoom=13&amp;E=2600730&amp;N=1185460&amp;layers=ch.kantone.cadastralwebmap-farbe,ch.swisstopo.amtliches-strassenverzeichnis,ch.bfs.gebaeude_wohnungs_register,KML||https://tinyurl.com/yy7ya4g9/BE/0880_bdg_erw.kml" TargetMode="External"/><Relationship Id="rId889" Type="http://schemas.openxmlformats.org/officeDocument/2006/relationships/hyperlink" Target="https://map.geo.admin.ch/?zoom=13&amp;E=2630682.477&amp;N=1196354.38&amp;layers=ch.kantone.cadastralwebmap-farbe,ch.swisstopo.amtliches-strassenverzeichnis,ch.bfs.gebaeude_wohnungs_register,KML||https://tinyurl.com/yy7ya4g9/BE/0909_bdg_erw.kml" TargetMode="External"/><Relationship Id="rId1074" Type="http://schemas.openxmlformats.org/officeDocument/2006/relationships/hyperlink" Target="https://map.geo.admin.ch/?zoom=13&amp;E=2619646.25&amp;N=1226721.625&amp;layers=ch.kantone.cadastralwebmap-farbe,ch.swisstopo.amtliches-strassenverzeichnis,ch.bfs.gebaeude_wohnungs_register,KML||https://tinyurl.com/yy7ya4g9/BE/0979_bdg_erw.kml" TargetMode="External"/><Relationship Id="rId444" Type="http://schemas.openxmlformats.org/officeDocument/2006/relationships/hyperlink" Target="https://map.geo.admin.ch/?zoom=13&amp;E=2645710&amp;N=1174383&amp;layers=ch.kantone.cadastralwebmap-farbe,ch.swisstopo.amtliches-strassenverzeichnis,ch.bfs.gebaeude_wohnungs_register,KML||https://tinyurl.com/yy7ya4g9/BE/0573_bdg_erw.kml" TargetMode="External"/><Relationship Id="rId651" Type="http://schemas.openxmlformats.org/officeDocument/2006/relationships/hyperlink" Target="https://map.geo.admin.ch/?zoom=13&amp;E=2614779.194&amp;N=1169249.687&amp;layers=ch.kantone.cadastralwebmap-farbe,ch.swisstopo.amtliches-strassenverzeichnis,ch.bfs.gebaeude_wohnungs_register,KML||https://tinyurl.com/yy7ya4g9/BE/0769_bdg_erw.kml" TargetMode="External"/><Relationship Id="rId749" Type="http://schemas.openxmlformats.org/officeDocument/2006/relationships/hyperlink" Target="https://map.geo.admin.ch/?zoom=13&amp;E=2601282.25&amp;N=1189522.625&amp;layers=ch.kantone.cadastralwebmap-farbe,ch.swisstopo.amtliches-strassenverzeichnis,ch.bfs.gebaeude_wohnungs_register,KML||https://tinyurl.com/yy7ya4g9/BE/0877_bdg_erw.kml" TargetMode="External"/><Relationship Id="rId290" Type="http://schemas.openxmlformats.org/officeDocument/2006/relationships/hyperlink" Target="https://map.geo.admin.ch/?zoom=13&amp;E=2566192.325&amp;N=1222426.476&amp;layers=ch.kantone.cadastralwebmap-farbe,ch.swisstopo.amtliches-strassenverzeichnis,ch.bfs.gebaeude_wohnungs_register,KML||https://tinyurl.com/yy7ya4g9/BE/0443_bdg_erw.kml" TargetMode="External"/><Relationship Id="rId304" Type="http://schemas.openxmlformats.org/officeDocument/2006/relationships/hyperlink" Target="https://map.geo.admin.ch/?zoom=13&amp;E=2577538.398&amp;N=1205290.547&amp;layers=ch.kantone.cadastralwebmap-farbe,ch.swisstopo.amtliches-strassenverzeichnis,ch.bfs.gebaeude_wohnungs_register,KML||https://tinyurl.com/yy7ya4g9/BE/0498_bdg_erw.kml" TargetMode="External"/><Relationship Id="rId388" Type="http://schemas.openxmlformats.org/officeDocument/2006/relationships/hyperlink" Target="https://map.geo.admin.ch/?zoom=13&amp;E=2617419&amp;N=1153859.875&amp;layers=ch.kantone.cadastralwebmap-farbe,ch.swisstopo.amtliches-strassenverzeichnis,ch.bfs.gebaeude_wohnungs_register,KML||https://tinyurl.com/yy7ya4g9/BE/0564_bdg_erw.kml" TargetMode="External"/><Relationship Id="rId511" Type="http://schemas.openxmlformats.org/officeDocument/2006/relationships/hyperlink" Target="https://map.geo.admin.ch/?zoom=13&amp;E=2615474&amp;N=1187378&amp;layers=ch.kantone.cadastralwebmap-farbe,ch.swisstopo.amtliches-strassenverzeichnis,ch.bfs.gebaeude_wohnungs_register,KML||https://tinyurl.com/yy7ya4g9/BE/0619_bdg_erw.kml" TargetMode="External"/><Relationship Id="rId609" Type="http://schemas.openxmlformats.org/officeDocument/2006/relationships/hyperlink" Target="https://map.geo.admin.ch/?zoom=13&amp;E=2582133.25&amp;N=1213340.625&amp;layers=ch.kantone.cadastralwebmap-farbe,ch.swisstopo.amtliches-strassenverzeichnis,ch.bfs.gebaeude_wohnungs_register,KML||https://tinyurl.com/yy7ya4g9/BE/0751_bdg_erw.kml" TargetMode="External"/><Relationship Id="rId956" Type="http://schemas.openxmlformats.org/officeDocument/2006/relationships/hyperlink" Target="https://map.geo.admin.ch/?zoom=13&amp;E=2613376.65&amp;N=1176728.14&amp;layers=ch.kantone.cadastralwebmap-farbe,ch.swisstopo.amtliches-strassenverzeichnis,ch.bfs.gebaeude_wohnungs_register,KML||https://tinyurl.com/yy7ya4g9/BE/0942_bdg_erw.kml" TargetMode="External"/><Relationship Id="rId85" Type="http://schemas.openxmlformats.org/officeDocument/2006/relationships/hyperlink" Target="https://map.geo.admin.ch/?zoom=13&amp;E=2628310.05&amp;N=1220536.462&amp;layers=ch.kantone.cadastralwebmap-farbe,ch.swisstopo.amtliches-strassenverzeichnis,ch.bfs.gebaeude_wohnungs_register,KML||https://tinyurl.com/yy7ya4g9/BE/0338_bdg_erw.kml" TargetMode="External"/><Relationship Id="rId150" Type="http://schemas.openxmlformats.org/officeDocument/2006/relationships/hyperlink" Target="https://map.geo.admin.ch/?zoom=13&amp;E=2584873.029&amp;N=1220254.01&amp;layers=ch.kantone.cadastralwebmap-farbe,ch.swisstopo.amtliches-strassenverzeichnis,ch.bfs.gebaeude_wohnungs_register,KML||https://tinyurl.com/yy7ya4g9/BE/0371_bdg_erw.kml" TargetMode="External"/><Relationship Id="rId595" Type="http://schemas.openxmlformats.org/officeDocument/2006/relationships/hyperlink" Target="https://map.geo.admin.ch/?zoom=13&amp;E=2591172.5&amp;N=1222663.625&amp;layers=ch.kantone.cadastralwebmap-farbe,ch.swisstopo.amtliches-strassenverzeichnis,ch.bfs.gebaeude_wohnungs_register,KML||https://tinyurl.com/yy7ya4g9/BE/0746_bdg_erw.kml" TargetMode="External"/><Relationship Id="rId816" Type="http://schemas.openxmlformats.org/officeDocument/2006/relationships/hyperlink" Target="https://map.geo.admin.ch/?zoom=13&amp;E=2605499&amp;N=1178563&amp;layers=ch.kantone.cadastralwebmap-farbe,ch.swisstopo.amtliches-strassenverzeichnis,ch.bfs.gebaeude_wohnungs_register,KML||https://tinyurl.com/yy7ya4g9/BE/0886_bdg_erw.kml" TargetMode="External"/><Relationship Id="rId1001" Type="http://schemas.openxmlformats.org/officeDocument/2006/relationships/hyperlink" Target="https://map.geo.admin.ch/?zoom=13&amp;E=2620011.75&amp;N=1205277.75&amp;layers=ch.kantone.cadastralwebmap-farbe,ch.swisstopo.amtliches-strassenverzeichnis,ch.bfs.gebaeude_wohnungs_register,KML||https://tinyurl.com/yy7ya4g9/BE/0955_bdg_erw.kml" TargetMode="External"/><Relationship Id="rId248" Type="http://schemas.openxmlformats.org/officeDocument/2006/relationships/hyperlink" Target="https://map.geo.admin.ch/?zoom=13&amp;E=2613678.166&amp;N=1212106.849&amp;layers=ch.kantone.cadastralwebmap-farbe,ch.swisstopo.amtliches-strassenverzeichnis,ch.bfs.gebaeude_wohnungs_register,KML||https://tinyurl.com/yy7ya4g9/BE/0404_bdg_erw.kml" TargetMode="External"/><Relationship Id="rId455" Type="http://schemas.openxmlformats.org/officeDocument/2006/relationships/hyperlink" Target="https://map.geo.admin.ch/?zoom=13&amp;E=2634693.152&amp;N=1168058.736&amp;layers=ch.kantone.cadastralwebmap-farbe,ch.swisstopo.amtliches-strassenverzeichnis,ch.bfs.gebaeude_wohnungs_register,KML||https://tinyurl.com/yy7ya4g9/BE/0577_bdg_erw.kml" TargetMode="External"/><Relationship Id="rId662" Type="http://schemas.openxmlformats.org/officeDocument/2006/relationships/hyperlink" Target="https://map.geo.admin.ch/?zoom=13&amp;E=2599938.238&amp;N=1146682.5&amp;layers=ch.kantone.cadastralwebmap-farbe,ch.swisstopo.amtliches-strassenverzeichnis,ch.bfs.gebaeude_wohnungs_register,KML||https://tinyurl.com/yy7ya4g9/BE/0792_bdg_erw.kml" TargetMode="External"/><Relationship Id="rId1085" Type="http://schemas.openxmlformats.org/officeDocument/2006/relationships/hyperlink" Target="https://map.geo.admin.ch/?zoom=13&amp;E=2622034.5&amp;N=1226181.875&amp;layers=ch.kantone.cadastralwebmap-farbe,ch.swisstopo.amtliches-strassenverzeichnis,ch.bfs.gebaeude_wohnungs_register,KML||https://tinyurl.com/yy7ya4g9/BE/0989_bdg_erw.kml" TargetMode="External"/><Relationship Id="rId12" Type="http://schemas.openxmlformats.org/officeDocument/2006/relationships/hyperlink" Target="https://map.geo.admin.ch/?zoom=13&amp;E=2588875&amp;N=1213242&amp;layers=ch.kantone.cadastralwebmap-farbe,ch.swisstopo.amtliches-strassenverzeichnis,ch.bfs.gebaeude_wohnungs_register,KML||https://tinyurl.com/yy7ya4g9/BE/0305_bdg_erw.kml" TargetMode="External"/><Relationship Id="rId108" Type="http://schemas.openxmlformats.org/officeDocument/2006/relationships/hyperlink" Target="https://map.geo.admin.ch/?zoom=13&amp;E=2599843.189&amp;N=1198429.97&amp;layers=ch.kantone.cadastralwebmap-farbe,ch.swisstopo.amtliches-strassenverzeichnis,ch.bfs.gebaeude_wohnungs_register,KML||https://tinyurl.com/yy7ya4g9/BE/0351_bdg_erw.kml" TargetMode="External"/><Relationship Id="rId315" Type="http://schemas.openxmlformats.org/officeDocument/2006/relationships/hyperlink" Target="https://map.geo.admin.ch/?zoom=13&amp;E=2604471&amp;N=1210752&amp;layers=ch.kantone.cadastralwebmap-farbe,ch.swisstopo.amtliches-strassenverzeichnis,ch.bfs.gebaeude_wohnungs_register,KML||https://tinyurl.com/yy7ya4g9/BE/0540_bdg_erw.kml" TargetMode="External"/><Relationship Id="rId522" Type="http://schemas.openxmlformats.org/officeDocument/2006/relationships/hyperlink" Target="https://map.geo.admin.ch/?zoom=13&amp;E=2609675.59&amp;N=1197746.546&amp;layers=ch.kantone.cadastralwebmap-farbe,ch.swisstopo.amtliches-strassenverzeichnis,ch.bfs.gebaeude_wohnungs_register,KML||https://tinyurl.com/yy7ya4g9/BE/0627_bdg_erw.kml" TargetMode="External"/><Relationship Id="rId967" Type="http://schemas.openxmlformats.org/officeDocument/2006/relationships/hyperlink" Target="https://map.geo.admin.ch/?zoom=13&amp;E=2614532.247&amp;N=1178277.895&amp;layers=ch.kantone.cadastralwebmap-farbe,ch.swisstopo.amtliches-strassenverzeichnis,ch.bfs.gebaeude_wohnungs_register,KML||https://tinyurl.com/yy7ya4g9/BE/0942_bdg_erw.kml" TargetMode="External"/><Relationship Id="rId96" Type="http://schemas.openxmlformats.org/officeDocument/2006/relationships/hyperlink" Target="https://map.geo.admin.ch/?zoom=13&amp;E=2628525&amp;N=1234017&amp;layers=ch.kantone.cadastralwebmap-farbe,ch.swisstopo.amtliches-strassenverzeichnis,ch.bfs.gebaeude_wohnungs_register,KML||https://tinyurl.com/yy7ya4g9/BE/0345_bdg_erw.kml" TargetMode="External"/><Relationship Id="rId161" Type="http://schemas.openxmlformats.org/officeDocument/2006/relationships/hyperlink" Target="https://map.geo.admin.ch/?zoom=13&amp;E=2586212.367&amp;N=1221090.049&amp;layers=ch.kantone.cadastralwebmap-farbe,ch.swisstopo.amtliches-strassenverzeichnis,ch.bfs.gebaeude_wohnungs_register,KML||https://tinyurl.com/yy7ya4g9/BE/0371_bdg_erw.kml" TargetMode="External"/><Relationship Id="rId399" Type="http://schemas.openxmlformats.org/officeDocument/2006/relationships/hyperlink" Target="https://map.geo.admin.ch/?zoom=13&amp;E=2621916&amp;N=1164374&amp;layers=ch.kantone.cadastralwebmap-farbe,ch.swisstopo.amtliches-strassenverzeichnis,ch.bfs.gebaeude_wohnungs_register,KML||https://tinyurl.com/yy7ya4g9/BE/0567_bdg_erw.kml" TargetMode="External"/><Relationship Id="rId827" Type="http://schemas.openxmlformats.org/officeDocument/2006/relationships/hyperlink" Target="https://map.geo.admin.ch/?zoom=13&amp;E=2605312&amp;N=1179241&amp;layers=ch.kantone.cadastralwebmap-farbe,ch.swisstopo.amtliches-strassenverzeichnis,ch.bfs.gebaeude_wohnungs_register,KML||https://tinyurl.com/yy7ya4g9/BE/0886_bdg_erw.kml" TargetMode="External"/><Relationship Id="rId1012" Type="http://schemas.openxmlformats.org/officeDocument/2006/relationships/hyperlink" Target="https://map.geo.admin.ch/?zoom=13&amp;E=2612417.155&amp;N=1204920.222&amp;layers=ch.kantone.cadastralwebmap-farbe,ch.swisstopo.amtliches-strassenverzeichnis,ch.bfs.gebaeude_wohnungs_register,KML||https://tinyurl.com/yy7ya4g9/BE/0955_bdg_erw.kml" TargetMode="External"/><Relationship Id="rId259" Type="http://schemas.openxmlformats.org/officeDocument/2006/relationships/hyperlink" Target="https://map.geo.admin.ch/?zoom=13&amp;E=2612431&amp;N=1220354.25&amp;layers=ch.kantone.cadastralwebmap-farbe,ch.swisstopo.amtliches-strassenverzeichnis,ch.bfs.gebaeude_wohnungs_register,KML||https://tinyurl.com/yy7ya4g9/BE/0413_bdg_erw.kml" TargetMode="External"/><Relationship Id="rId466" Type="http://schemas.openxmlformats.org/officeDocument/2006/relationships/hyperlink" Target="https://map.geo.admin.ch/?zoom=13&amp;E=2626109.97&amp;N=1167073.522&amp;layers=ch.kantone.cadastralwebmap-farbe,ch.swisstopo.amtliches-strassenverzeichnis,ch.bfs.gebaeude_wohnungs_register,KML||https://tinyurl.com/yy7ya4g9/BE/0585_bdg_erw.kml" TargetMode="External"/><Relationship Id="rId673" Type="http://schemas.openxmlformats.org/officeDocument/2006/relationships/hyperlink" Target="https://map.geo.admin.ch/?zoom=13&amp;E=2592917.495&amp;N=1140410.518&amp;layers=ch.kantone.cadastralwebmap-farbe,ch.swisstopo.amtliches-strassenverzeichnis,ch.bfs.gebaeude_wohnungs_register,KML||https://tinyurl.com/yy7ya4g9/BE/0842_bdg_erw.kml" TargetMode="External"/><Relationship Id="rId880" Type="http://schemas.openxmlformats.org/officeDocument/2006/relationships/hyperlink" Target="https://map.geo.admin.ch/?zoom=13&amp;E=2635617.5&amp;N=1201675.75&amp;layers=ch.kantone.cadastralwebmap-farbe,ch.swisstopo.amtliches-strassenverzeichnis,ch.bfs.gebaeude_wohnungs_register,KML||https://tinyurl.com/yy7ya4g9/BE/0908_bdg_erw.kml" TargetMode="External"/><Relationship Id="rId1096" Type="http://schemas.openxmlformats.org/officeDocument/2006/relationships/hyperlink" Target="https://map.geo.admin.ch/?zoom=13&amp;E=2618821.5&amp;N=1231053.625&amp;layers=ch.kantone.cadastralwebmap-farbe,ch.swisstopo.amtliches-strassenverzeichnis,ch.bfs.gebaeude_wohnungs_register,KML||https://tinyurl.com/yy7ya4g9/BE/0991_bdg_erw.kml" TargetMode="External"/><Relationship Id="rId23" Type="http://schemas.openxmlformats.org/officeDocument/2006/relationships/hyperlink" Target="https://map.geo.admin.ch/?zoom=13&amp;E=2591017&amp;N=1216464&amp;layers=ch.kantone.cadastralwebmap-farbe,ch.swisstopo.amtliches-strassenverzeichnis,ch.bfs.gebaeude_wohnungs_register,KML||https://tinyurl.com/yy7ya4g9/BE/0306_bdg_erw.kml" TargetMode="External"/><Relationship Id="rId119" Type="http://schemas.openxmlformats.org/officeDocument/2006/relationships/hyperlink" Target="https://map.geo.admin.ch/?zoom=13&amp;E=2606020&amp;N=1197836&amp;layers=ch.kantone.cadastralwebmap-farbe,ch.swisstopo.amtliches-strassenverzeichnis,ch.bfs.gebaeude_wohnungs_register,KML||https://tinyurl.com/yy7ya4g9/BE/0356_bdg_erw.kml" TargetMode="External"/><Relationship Id="rId326" Type="http://schemas.openxmlformats.org/officeDocument/2006/relationships/hyperlink" Target="https://map.geo.admin.ch/?zoom=13&amp;E=2605127&amp;N=1207569&amp;layers=ch.kantone.cadastralwebmap-farbe,ch.swisstopo.amtliches-strassenverzeichnis,ch.bfs.gebaeude_wohnungs_register,KML||https://tinyurl.com/yy7ya4g9/BE/0551_bdg_erw.kml" TargetMode="External"/><Relationship Id="rId533" Type="http://schemas.openxmlformats.org/officeDocument/2006/relationships/hyperlink" Target="https://map.geo.admin.ch/?zoom=13&amp;E=2611067&amp;N=1188728&amp;layers=ch.kantone.cadastralwebmap-farbe,ch.swisstopo.amtliches-strassenverzeichnis,ch.bfs.gebaeude_wohnungs_register,KML||https://tinyurl.com/yy7ya4g9/BE/0632_bdg_erw.kml" TargetMode="External"/><Relationship Id="rId978" Type="http://schemas.openxmlformats.org/officeDocument/2006/relationships/hyperlink" Target="https://map.geo.admin.ch/?zoom=13&amp;E=2618869.25&amp;N=1183124.25&amp;layers=ch.kantone.cadastralwebmap-farbe,ch.swisstopo.amtliches-strassenverzeichnis,ch.bfs.gebaeude_wohnungs_register,KML||https://tinyurl.com/yy7ya4g9/BE/0945_bdg_erw.kml" TargetMode="External"/><Relationship Id="rId740" Type="http://schemas.openxmlformats.org/officeDocument/2006/relationships/hyperlink" Target="https://map.geo.admin.ch/?zoom=13&amp;E=2601060&amp;N=1189021.875&amp;layers=ch.kantone.cadastralwebmap-farbe,ch.swisstopo.amtliches-strassenverzeichnis,ch.bfs.gebaeude_wohnungs_register,KML||https://tinyurl.com/yy7ya4g9/BE/0877_bdg_erw.kml" TargetMode="External"/><Relationship Id="rId838" Type="http://schemas.openxmlformats.org/officeDocument/2006/relationships/hyperlink" Target="https://map.geo.admin.ch/?zoom=13&amp;E=2605451&amp;N=1180514&amp;layers=ch.kantone.cadastralwebmap-farbe,ch.swisstopo.amtliches-strassenverzeichnis,ch.bfs.gebaeude_wohnungs_register,KML||https://tinyurl.com/yy7ya4g9/BE/0886_bdg_erw.kml" TargetMode="External"/><Relationship Id="rId1023" Type="http://schemas.openxmlformats.org/officeDocument/2006/relationships/hyperlink" Target="https://map.geo.admin.ch/?zoom=13&amp;E=2623302&amp;N=1208746&amp;layers=ch.kantone.cadastralwebmap-farbe,ch.swisstopo.amtliches-strassenverzeichnis,ch.bfs.gebaeude_wohnungs_register,KML||https://tinyurl.com/yy7ya4g9/BE/0957_bdg_erw.kml" TargetMode="External"/><Relationship Id="rId172" Type="http://schemas.openxmlformats.org/officeDocument/2006/relationships/hyperlink" Target="https://map.geo.admin.ch/?zoom=13&amp;E=2588330.52&amp;N=1223107.965&amp;layers=ch.kantone.cadastralwebmap-farbe,ch.swisstopo.amtliches-strassenverzeichnis,ch.bfs.gebaeude_wohnungs_register,KML||https://tinyurl.com/yy7ya4g9/BE/0371_bdg_erw.kml" TargetMode="External"/><Relationship Id="rId477" Type="http://schemas.openxmlformats.org/officeDocument/2006/relationships/hyperlink" Target="https://map.geo.admin.ch/?zoom=13&amp;E=2639144&amp;N=1175624&amp;layers=ch.kantone.cadastralwebmap-farbe,ch.swisstopo.amtliches-strassenverzeichnis,ch.bfs.gebaeude_wohnungs_register,KML||https://tinyurl.com/yy7ya4g9/BE/0589_bdg_erw.kml" TargetMode="External"/><Relationship Id="rId600" Type="http://schemas.openxmlformats.org/officeDocument/2006/relationships/hyperlink" Target="https://map.geo.admin.ch/?zoom=13&amp;E=2591870.083&amp;N=1220191.187&amp;layers=ch.kantone.cadastralwebmap-farbe,ch.swisstopo.amtliches-strassenverzeichnis,ch.bfs.gebaeude_wohnungs_register,KML||https://tinyurl.com/yy7ya4g9/BE/0747_bdg_erw.kml" TargetMode="External"/><Relationship Id="rId684" Type="http://schemas.openxmlformats.org/officeDocument/2006/relationships/hyperlink" Target="https://map.geo.admin.ch/?zoom=13&amp;E=2597753.316&amp;N=1181079.971&amp;layers=ch.kantone.cadastralwebmap-farbe,ch.swisstopo.amtliches-strassenverzeichnis,ch.bfs.gebaeude_wohnungs_register,KML||https://tinyurl.com/yy7ya4g9/BE/0853_bdg_erw.kml" TargetMode="External"/><Relationship Id="rId337" Type="http://schemas.openxmlformats.org/officeDocument/2006/relationships/hyperlink" Target="https://map.geo.admin.ch/?zoom=13&amp;E=2615666&amp;N=1159633&amp;layers=ch.kantone.cadastralwebmap-farbe,ch.swisstopo.amtliches-strassenverzeichnis,ch.bfs.gebaeude_wohnungs_register,KML||https://tinyurl.com/yy7ya4g9/BE/0563_bdg_erw.kml" TargetMode="External"/><Relationship Id="rId891" Type="http://schemas.openxmlformats.org/officeDocument/2006/relationships/hyperlink" Target="https://map.geo.admin.ch/?zoom=13&amp;E=2603107&amp;N=1173765&amp;layers=ch.kantone.cadastralwebmap-farbe,ch.swisstopo.amtliches-strassenverzeichnis,ch.bfs.gebaeude_wohnungs_register,KML||https://tinyurl.com/yy7ya4g9/BE/0922_bdg_erw.kml" TargetMode="External"/><Relationship Id="rId905" Type="http://schemas.openxmlformats.org/officeDocument/2006/relationships/hyperlink" Target="https://map.geo.admin.ch/?zoom=13&amp;E=2612883.562&amp;N=1180100.795&amp;layers=ch.kantone.cadastralwebmap-farbe,ch.swisstopo.amtliches-strassenverzeichnis,ch.bfs.gebaeude_wohnungs_register,KML||https://tinyurl.com/yy7ya4g9/BE/0928_bdg_erw.kml" TargetMode="External"/><Relationship Id="rId989" Type="http://schemas.openxmlformats.org/officeDocument/2006/relationships/hyperlink" Target="https://map.geo.admin.ch/?zoom=13&amp;E=2630860.255&amp;N=1213579.746&amp;layers=ch.kantone.cadastralwebmap-farbe,ch.swisstopo.amtliches-strassenverzeichnis,ch.bfs.gebaeude_wohnungs_register,KML||https://tinyurl.com/yy7ya4g9/BE/0953_bdg_erw.kml" TargetMode="External"/><Relationship Id="rId34" Type="http://schemas.openxmlformats.org/officeDocument/2006/relationships/hyperlink" Target="https://map.geo.admin.ch/?zoom=13&amp;E=2594113&amp;N=1206448&amp;layers=ch.kantone.cadastralwebmap-farbe,ch.swisstopo.amtliches-strassenverzeichnis,ch.bfs.gebaeude_wohnungs_register,KML||https://tinyurl.com/yy7ya4g9/BE/0307_bdg_erw.kml" TargetMode="External"/><Relationship Id="rId544" Type="http://schemas.openxmlformats.org/officeDocument/2006/relationships/hyperlink" Target="https://map.geo.admin.ch/?zoom=13&amp;E=2609795.191&amp;N=1187748.203&amp;layers=ch.kantone.cadastralwebmap-farbe,ch.swisstopo.amtliches-strassenverzeichnis,ch.bfs.gebaeude_wohnungs_register,KML||https://tinyurl.com/yy7ya4g9/BE/0632_bdg_erw.kml" TargetMode="External"/><Relationship Id="rId751" Type="http://schemas.openxmlformats.org/officeDocument/2006/relationships/hyperlink" Target="https://map.geo.admin.ch/?zoom=13&amp;E=2601272.5&amp;N=1190337.375&amp;layers=ch.kantone.cadastralwebmap-farbe,ch.swisstopo.amtliches-strassenverzeichnis,ch.bfs.gebaeude_wohnungs_register,KML||https://tinyurl.com/yy7ya4g9/BE/0877_bdg_erw.kml" TargetMode="External"/><Relationship Id="rId849" Type="http://schemas.openxmlformats.org/officeDocument/2006/relationships/hyperlink" Target="https://map.geo.admin.ch/?zoom=13&amp;E=2605383&amp;N=1177974&amp;layers=ch.kantone.cadastralwebmap-farbe,ch.swisstopo.amtliches-strassenverzeichnis,ch.bfs.gebaeude_wohnungs_register,KML||https://tinyurl.com/yy7ya4g9/BE/0886_bdg_erw.kml" TargetMode="External"/><Relationship Id="rId183" Type="http://schemas.openxmlformats.org/officeDocument/2006/relationships/hyperlink" Target="https://map.geo.admin.ch/?zoom=13&amp;E=2586203.111&amp;N=1220790.728&amp;layers=ch.kantone.cadastralwebmap-farbe,ch.swisstopo.amtliches-strassenverzeichnis,ch.bfs.gebaeude_wohnungs_register,KML||https://tinyurl.com/yy7ya4g9/BE/0371_bdg_erw.kml" TargetMode="External"/><Relationship Id="rId390" Type="http://schemas.openxmlformats.org/officeDocument/2006/relationships/hyperlink" Target="https://map.geo.admin.ch/?zoom=13&amp;E=2622283.75&amp;N=1167775&amp;layers=ch.kantone.cadastralwebmap-farbe,ch.swisstopo.amtliches-strassenverzeichnis,ch.bfs.gebaeude_wohnungs_register,KML||https://tinyurl.com/yy7ya4g9/BE/0566_bdg_erw.kml" TargetMode="External"/><Relationship Id="rId404" Type="http://schemas.openxmlformats.org/officeDocument/2006/relationships/hyperlink" Target="https://map.geo.admin.ch/?zoom=13&amp;E=2623453&amp;N=1155567&amp;layers=ch.kantone.cadastralwebmap-farbe,ch.swisstopo.amtliches-strassenverzeichnis,ch.bfs.gebaeude_wohnungs_register,KML||https://tinyurl.com/yy7ya4g9/BE/0567_bdg_erw.kml" TargetMode="External"/><Relationship Id="rId611" Type="http://schemas.openxmlformats.org/officeDocument/2006/relationships/hyperlink" Target="https://map.geo.admin.ch/?zoom=13&amp;E=2581588&amp;N=1212507.375&amp;layers=ch.kantone.cadastralwebmap-farbe,ch.swisstopo.amtliches-strassenverzeichnis,ch.bfs.gebaeude_wohnungs_register,KML||https://tinyurl.com/yy7ya4g9/BE/0751_bdg_erw.kml" TargetMode="External"/><Relationship Id="rId1034" Type="http://schemas.openxmlformats.org/officeDocument/2006/relationships/hyperlink" Target="https://map.geo.admin.ch/?zoom=13&amp;E=2625768.409&amp;N=1218799.2&amp;layers=ch.kantone.cadastralwebmap-farbe,ch.swisstopo.amtliches-strassenverzeichnis,ch.bfs.gebaeude_wohnungs_register,KML||https://tinyurl.com/yy7ya4g9/BE/0959_bdg_erw.kml" TargetMode="External"/><Relationship Id="rId250" Type="http://schemas.openxmlformats.org/officeDocument/2006/relationships/hyperlink" Target="https://map.geo.admin.ch/?zoom=13&amp;E=2615980&amp;N=1221581&amp;layers=ch.kantone.cadastralwebmap-farbe,ch.swisstopo.amtliches-strassenverzeichnis,ch.bfs.gebaeude_wohnungs_register,KML||https://tinyurl.com/yy7ya4g9/BE/0408_bdg_erw.kml" TargetMode="External"/><Relationship Id="rId488" Type="http://schemas.openxmlformats.org/officeDocument/2006/relationships/hyperlink" Target="https://map.geo.admin.ch/?zoom=13&amp;E=2633067.814&amp;N=1169151.808&amp;layers=ch.kantone.cadastralwebmap-farbe,ch.swisstopo.amtliches-strassenverzeichnis,ch.bfs.gebaeude_wohnungs_register,KML||https://tinyurl.com/yy7ya4g9/BE/0594_bdg_erw.kml" TargetMode="External"/><Relationship Id="rId695" Type="http://schemas.openxmlformats.org/officeDocument/2006/relationships/hyperlink" Target="https://map.geo.admin.ch/?zoom=13&amp;E=2595098.307&amp;N=1187155.81&amp;layers=ch.kantone.cadastralwebmap-farbe,ch.swisstopo.amtliches-strassenverzeichnis,ch.bfs.gebaeude_wohnungs_register,KML||https://tinyurl.com/yy7ya4g9/BE/0855_bdg_erw.kml" TargetMode="External"/><Relationship Id="rId709" Type="http://schemas.openxmlformats.org/officeDocument/2006/relationships/hyperlink" Target="https://map.geo.admin.ch/?zoom=13&amp;E=2608118&amp;N=1190535.5&amp;layers=ch.kantone.cadastralwebmap-farbe,ch.swisstopo.amtliches-strassenverzeichnis,ch.bfs.gebaeude_wohnungs_register,KML||https://tinyurl.com/yy7ya4g9/BE/0866_bdg_erw.kml" TargetMode="External"/><Relationship Id="rId916" Type="http://schemas.openxmlformats.org/officeDocument/2006/relationships/hyperlink" Target="https://map.geo.admin.ch/?zoom=13&amp;E=2621559.084&amp;N=1179160.886&amp;layers=ch.kantone.cadastralwebmap-farbe,ch.swisstopo.amtliches-strassenverzeichnis,ch.bfs.gebaeude_wohnungs_register,KML||https://tinyurl.com/yy7ya4g9/BE/0938_bdg_erw.kml" TargetMode="External"/><Relationship Id="rId1101" Type="http://schemas.openxmlformats.org/officeDocument/2006/relationships/hyperlink" Target="https://map.geo.admin.ch/?zoom=13&amp;E=2618840.5&amp;N=1231225.625&amp;layers=ch.kantone.cadastralwebmap-farbe,ch.swisstopo.amtliches-strassenverzeichnis,ch.bfs.gebaeude_wohnungs_register,KML||https://tinyurl.com/yy7ya4g9/BE/0991_bdg_erw.kml" TargetMode="External"/><Relationship Id="rId45" Type="http://schemas.openxmlformats.org/officeDocument/2006/relationships/hyperlink" Target="https://map.geo.admin.ch/?zoom=13&amp;E=2591707&amp;N=1208441&amp;layers=ch.kantone.cadastralwebmap-farbe,ch.swisstopo.amtliches-strassenverzeichnis,ch.bfs.gebaeude_wohnungs_register,KML||https://tinyurl.com/yy7ya4g9/BE/0312_bdg_erw.kml" TargetMode="External"/><Relationship Id="rId110" Type="http://schemas.openxmlformats.org/officeDocument/2006/relationships/hyperlink" Target="https://map.geo.admin.ch/?zoom=13&amp;E=2591331.43&amp;N=1198786.264&amp;layers=ch.kantone.cadastralwebmap-farbe,ch.swisstopo.amtliches-strassenverzeichnis,ch.bfs.gebaeude_wohnungs_register,KML||https://tinyurl.com/yy7ya4g9/BE/0351_bdg_erw.kml" TargetMode="External"/><Relationship Id="rId348" Type="http://schemas.openxmlformats.org/officeDocument/2006/relationships/hyperlink" Target="https://map.geo.admin.ch/?zoom=13&amp;E=2615965&amp;N=1159659&amp;layers=ch.kantone.cadastralwebmap-farbe,ch.swisstopo.amtliches-strassenverzeichnis,ch.bfs.gebaeude_wohnungs_register,KML||https://tinyurl.com/yy7ya4g9/BE/0563_bdg_erw.kml" TargetMode="External"/><Relationship Id="rId555" Type="http://schemas.openxmlformats.org/officeDocument/2006/relationships/hyperlink" Target="https://map.geo.admin.ch/?zoom=13&amp;E=2589223.808&amp;N=1193925.085&amp;layers=ch.kantone.cadastralwebmap-farbe,ch.swisstopo.amtliches-strassenverzeichnis,ch.bfs.gebaeude_wohnungs_register,KML||https://tinyurl.com/yy7ya4g9/BE/0670_bdg_erw.kml" TargetMode="External"/><Relationship Id="rId762" Type="http://schemas.openxmlformats.org/officeDocument/2006/relationships/hyperlink" Target="https://map.geo.admin.ch/?zoom=13&amp;E=2602198&amp;N=1189830.375&amp;layers=ch.kantone.cadastralwebmap-farbe,ch.swisstopo.amtliches-strassenverzeichnis,ch.bfs.gebaeude_wohnungs_register,KML||https://tinyurl.com/yy7ya4g9/BE/0877_bdg_erw.kml" TargetMode="External"/><Relationship Id="rId194" Type="http://schemas.openxmlformats.org/officeDocument/2006/relationships/hyperlink" Target="https://map.geo.admin.ch/?zoom=13&amp;E=2599188.641&amp;N=1223958.167&amp;layers=ch.kantone.cadastralwebmap-farbe,ch.swisstopo.amtliches-strassenverzeichnis,ch.bfs.gebaeude_wohnungs_register,KML||https://tinyurl.com/yy7ya4g9/BE/0381_bdg_erw.kml" TargetMode="External"/><Relationship Id="rId208" Type="http://schemas.openxmlformats.org/officeDocument/2006/relationships/hyperlink" Target="https://map.geo.admin.ch/?zoom=13&amp;E=2601909.75&amp;N=1224644.125&amp;layers=ch.kantone.cadastralwebmap-farbe,ch.swisstopo.amtliches-strassenverzeichnis,ch.bfs.gebaeude_wohnungs_register,KML||https://tinyurl.com/yy7ya4g9/BE/0388_bdg_erw.kml" TargetMode="External"/><Relationship Id="rId415" Type="http://schemas.openxmlformats.org/officeDocument/2006/relationships/hyperlink" Target="https://map.geo.admin.ch/?zoom=13&amp;E=2622684&amp;N=1157212&amp;layers=ch.kantone.cadastralwebmap-farbe,ch.swisstopo.amtliches-strassenverzeichnis,ch.bfs.gebaeude_wohnungs_register,KML||https://tinyurl.com/yy7ya4g9/BE/0567_bdg_erw.kml" TargetMode="External"/><Relationship Id="rId622" Type="http://schemas.openxmlformats.org/officeDocument/2006/relationships/hyperlink" Target="https://map.geo.admin.ch/?zoom=13&amp;E=2609550&amp;N=1161590&amp;layers=ch.kantone.cadastralwebmap-farbe,ch.swisstopo.amtliches-strassenverzeichnis,ch.bfs.gebaeude_wohnungs_register,KML||https://tinyurl.com/yy7ya4g9/BE/0762_bdg_erw.kml" TargetMode="External"/><Relationship Id="rId1045" Type="http://schemas.openxmlformats.org/officeDocument/2006/relationships/hyperlink" Target="https://map.geo.admin.ch/?zoom=13&amp;E=2625253.756&amp;N=1217696.954&amp;layers=ch.kantone.cadastralwebmap-farbe,ch.swisstopo.amtliches-strassenverzeichnis,ch.bfs.gebaeude_wohnungs_register,KML||https://tinyurl.com/yy7ya4g9/BE/0959_bdg_erw.kml" TargetMode="External"/><Relationship Id="rId261" Type="http://schemas.openxmlformats.org/officeDocument/2006/relationships/hyperlink" Target="https://map.geo.admin.ch/?zoom=13&amp;E=2611433.5&amp;N=1213619.625&amp;layers=ch.kantone.cadastralwebmap-farbe,ch.swisstopo.amtliches-strassenverzeichnis,ch.bfs.gebaeude_wohnungs_register,KML||https://tinyurl.com/yy7ya4g9/BE/0415_bdg_erw.kml" TargetMode="External"/><Relationship Id="rId499" Type="http://schemas.openxmlformats.org/officeDocument/2006/relationships/hyperlink" Target="https://map.geo.admin.ch/?zoom=13&amp;E=2609975.475&amp;N=1191329.71&amp;layers=ch.kantone.cadastralwebmap-farbe,ch.swisstopo.amtliches-strassenverzeichnis,ch.bfs.gebaeude_wohnungs_register,KML||https://tinyurl.com/yy7ya4g9/BE/0616_bdg_erw.kml" TargetMode="External"/><Relationship Id="rId927" Type="http://schemas.openxmlformats.org/officeDocument/2006/relationships/hyperlink" Target="https://map.geo.admin.ch/?zoom=13&amp;E=2622262.981&amp;N=1176039.886&amp;layers=ch.kantone.cadastralwebmap-farbe,ch.swisstopo.amtliches-strassenverzeichnis,ch.bfs.gebaeude_wohnungs_register,KML||https://tinyurl.com/yy7ya4g9/BE/0938_bdg_erw.kml" TargetMode="External"/><Relationship Id="rId1112" Type="http://schemas.openxmlformats.org/officeDocument/2006/relationships/hyperlink" Target="https://map.geo.admin.ch/?zoom=13&amp;E=2618420.25&amp;N=1231218.125&amp;layers=ch.kantone.cadastralwebmap-farbe,ch.swisstopo.amtliches-strassenverzeichnis,ch.bfs.gebaeude_wohnungs_register,KML||https://tinyurl.com/yy7ya4g9/BE/0991_bdg_erw.kml" TargetMode="External"/><Relationship Id="rId56" Type="http://schemas.openxmlformats.org/officeDocument/2006/relationships/hyperlink" Target="https://map.geo.admin.ch/?zoom=13&amp;E=2628315.5&amp;N=1227628.75&amp;layers=ch.kantone.cadastralwebmap-farbe,ch.swisstopo.amtliches-strassenverzeichnis,ch.bfs.gebaeude_wohnungs_register,KML||https://tinyurl.com/yy7ya4g9/BE/0329_bdg_erw.kml" TargetMode="External"/><Relationship Id="rId359" Type="http://schemas.openxmlformats.org/officeDocument/2006/relationships/hyperlink" Target="https://map.geo.admin.ch/?zoom=13&amp;E=2615985.5&amp;N=1159442.625&amp;layers=ch.kantone.cadastralwebmap-farbe,ch.swisstopo.amtliches-strassenverzeichnis,ch.bfs.gebaeude_wohnungs_register,KML||https://tinyurl.com/yy7ya4g9/BE/0563_bdg_erw.kml" TargetMode="External"/><Relationship Id="rId566" Type="http://schemas.openxmlformats.org/officeDocument/2006/relationships/hyperlink" Target="https://map.geo.admin.ch/?zoom=13&amp;E=2577269.255&amp;N=1218611.316&amp;layers=ch.kantone.cadastralwebmap-farbe,ch.swisstopo.amtliches-strassenverzeichnis,ch.bfs.gebaeude_wohnungs_register,KML||https://tinyurl.com/yy7ya4g9/BE/0726_bdg_erw.kml" TargetMode="External"/><Relationship Id="rId773" Type="http://schemas.openxmlformats.org/officeDocument/2006/relationships/hyperlink" Target="https://map.geo.admin.ch/?zoom=13&amp;E=2603459&amp;N=1184600&amp;layers=ch.kantone.cadastralwebmap-farbe,ch.swisstopo.amtliches-strassenverzeichnis,ch.bfs.gebaeude_wohnungs_register,KML||https://tinyurl.com/yy7ya4g9/BE/0879_bdg_erw.kml" TargetMode="External"/><Relationship Id="rId121" Type="http://schemas.openxmlformats.org/officeDocument/2006/relationships/hyperlink" Target="https://map.geo.admin.ch/?zoom=13&amp;E=2602990&amp;N=1197364&amp;layers=ch.kantone.cadastralwebmap-farbe,ch.swisstopo.amtliches-strassenverzeichnis,ch.bfs.gebaeude_wohnungs_register,KML||https://tinyurl.com/yy7ya4g9/BE/0356_bdg_erw.kml" TargetMode="External"/><Relationship Id="rId219" Type="http://schemas.openxmlformats.org/officeDocument/2006/relationships/hyperlink" Target="https://map.geo.admin.ch/?zoom=13&amp;E=2597335&amp;N=1222137&amp;layers=ch.kantone.cadastralwebmap-farbe,ch.swisstopo.amtliches-strassenverzeichnis,ch.bfs.gebaeude_wohnungs_register,KML||https://tinyurl.com/yy7ya4g9/BE/0393_bdg_erw.kml" TargetMode="External"/><Relationship Id="rId426" Type="http://schemas.openxmlformats.org/officeDocument/2006/relationships/hyperlink" Target="https://map.geo.admin.ch/?zoom=13&amp;E=2624713&amp;N=1155188&amp;layers=ch.kantone.cadastralwebmap-farbe,ch.swisstopo.amtliches-strassenverzeichnis,ch.bfs.gebaeude_wohnungs_register,KML||https://tinyurl.com/yy7ya4g9/BE/0567_bdg_erw.kml" TargetMode="External"/><Relationship Id="rId633" Type="http://schemas.openxmlformats.org/officeDocument/2006/relationships/hyperlink" Target="https://map.geo.admin.ch/?zoom=13&amp;E=2602754&amp;N=1160764&amp;layers=ch.kantone.cadastralwebmap-farbe,ch.swisstopo.amtliches-strassenverzeichnis,ch.bfs.gebaeude_wohnungs_register,KML||https://tinyurl.com/yy7ya4g9/BE/0762_bdg_erw.kml" TargetMode="External"/><Relationship Id="rId980" Type="http://schemas.openxmlformats.org/officeDocument/2006/relationships/hyperlink" Target="https://map.geo.admin.ch/?zoom=13&amp;E=2622423.857&amp;N=1184686.72&amp;layers=ch.kantone.cadastralwebmap-farbe,ch.swisstopo.amtliches-strassenverzeichnis,ch.bfs.gebaeude_wohnungs_register,KML||https://tinyurl.com/yy7ya4g9/BE/0946_bdg_erw.kml" TargetMode="External"/><Relationship Id="rId1056" Type="http://schemas.openxmlformats.org/officeDocument/2006/relationships/hyperlink" Target="https://map.geo.admin.ch/?zoom=13&amp;E=2625095.37&amp;N=1218173.395&amp;layers=ch.kantone.cadastralwebmap-farbe,ch.swisstopo.amtliches-strassenverzeichnis,ch.bfs.gebaeude_wohnungs_register,KML||https://tinyurl.com/yy7ya4g9/BE/0959_bdg_erw.kml" TargetMode="External"/><Relationship Id="rId840" Type="http://schemas.openxmlformats.org/officeDocument/2006/relationships/hyperlink" Target="https://map.geo.admin.ch/?zoom=13&amp;E=2604173&amp;N=1180732&amp;layers=ch.kantone.cadastralwebmap-farbe,ch.swisstopo.amtliches-strassenverzeichnis,ch.bfs.gebaeude_wohnungs_register,KML||https://tinyurl.com/yy7ya4g9/BE/0886_bdg_erw.kml" TargetMode="External"/><Relationship Id="rId938" Type="http://schemas.openxmlformats.org/officeDocument/2006/relationships/hyperlink" Target="https://map.geo.admin.ch/?zoom=13&amp;E=2616307&amp;N=1181438&amp;layers=ch.kantone.cadastralwebmap-farbe,ch.swisstopo.amtliches-strassenverzeichnis,ch.bfs.gebaeude_wohnungs_register,KML||https://tinyurl.com/yy7ya4g9/BE/0939_bdg_erw.kml" TargetMode="External"/><Relationship Id="rId67" Type="http://schemas.openxmlformats.org/officeDocument/2006/relationships/hyperlink" Target="https://map.geo.admin.ch/?zoom=13&amp;E=2627526&amp;N=1223872&amp;layers=ch.kantone.cadastralwebmap-farbe,ch.swisstopo.amtliches-strassenverzeichnis,ch.bfs.gebaeude_wohnungs_register,KML||https://tinyurl.com/yy7ya4g9/BE/0332_bdg_erw.kml" TargetMode="External"/><Relationship Id="rId272" Type="http://schemas.openxmlformats.org/officeDocument/2006/relationships/hyperlink" Target="https://map.geo.admin.ch/?zoom=13&amp;E=2610423.25&amp;N=1214845&amp;layers=ch.kantone.cadastralwebmap-farbe,ch.swisstopo.amtliches-strassenverzeichnis,ch.bfs.gebaeude_wohnungs_register,KML||https://tinyurl.com/yy7ya4g9/BE/0420_bdg_erw.kml" TargetMode="External"/><Relationship Id="rId577" Type="http://schemas.openxmlformats.org/officeDocument/2006/relationships/hyperlink" Target="https://map.geo.admin.ch/?zoom=13&amp;E=2587920.839&amp;N=1218958.912&amp;layers=ch.kantone.cadastralwebmap-farbe,ch.swisstopo.amtliches-strassenverzeichnis,ch.bfs.gebaeude_wohnungs_register,KML||https://tinyurl.com/yy7ya4g9/BE/0733_bdg_erw.kml" TargetMode="External"/><Relationship Id="rId700" Type="http://schemas.openxmlformats.org/officeDocument/2006/relationships/hyperlink" Target="https://map.geo.admin.ch/?zoom=13&amp;E=2604773.277&amp;N=1193021.841&amp;layers=ch.kantone.cadastralwebmap-farbe,ch.swisstopo.amtliches-strassenverzeichnis,ch.bfs.gebaeude_wohnungs_register,KML||https://tinyurl.com/yy7ya4g9/BE/0861_bdg_erw.kml" TargetMode="External"/><Relationship Id="rId1123" Type="http://schemas.openxmlformats.org/officeDocument/2006/relationships/hyperlink" Target="https://map.geo.admin.ch/?zoom=13&amp;E=2617883.25&amp;N=1230836.125&amp;layers=ch.kantone.cadastralwebmap-farbe,ch.swisstopo.amtliches-strassenverzeichnis,ch.bfs.gebaeude_wohnungs_register,KML||https://tinyurl.com/yy7ya4g9/BE/0991_bdg_erw.kml" TargetMode="External"/><Relationship Id="rId132" Type="http://schemas.openxmlformats.org/officeDocument/2006/relationships/hyperlink" Target="https://map.geo.admin.ch/?zoom=13&amp;E=2592171.453&amp;N=1205226.831&amp;layers=ch.kantone.cadastralwebmap-farbe,ch.swisstopo.amtliches-strassenverzeichnis,ch.bfs.gebaeude_wohnungs_register,KML||https://tinyurl.com/yy7ya4g9/BE/0360_bdg_erw.kml" TargetMode="External"/><Relationship Id="rId784" Type="http://schemas.openxmlformats.org/officeDocument/2006/relationships/hyperlink" Target="https://map.geo.admin.ch/?zoom=13&amp;E=2602492.009&amp;N=1187015.975&amp;layers=ch.kantone.cadastralwebmap-farbe,ch.swisstopo.amtliches-strassenverzeichnis,ch.bfs.gebaeude_wohnungs_register,KML||https://tinyurl.com/yy7ya4g9/BE/0880_bdg_erw.kml" TargetMode="External"/><Relationship Id="rId991" Type="http://schemas.openxmlformats.org/officeDocument/2006/relationships/hyperlink" Target="https://map.geo.admin.ch/?zoom=13&amp;E=2631133&amp;N=1217189&amp;layers=ch.kantone.cadastralwebmap-farbe,ch.swisstopo.amtliches-strassenverzeichnis,ch.bfs.gebaeude_wohnungs_register,KML||https://tinyurl.com/yy7ya4g9/BE/0954_bdg_erw.kml" TargetMode="External"/><Relationship Id="rId1067" Type="http://schemas.openxmlformats.org/officeDocument/2006/relationships/hyperlink" Target="https://map.geo.admin.ch/?zoom=13&amp;E=2629101.223&amp;N=1213323.009&amp;layers=ch.kantone.cadastralwebmap-farbe,ch.swisstopo.amtliches-strassenverzeichnis,ch.bfs.gebaeude_wohnungs_register,KML||https://tinyurl.com/yy7ya4g9/BE/0960_bdg_erw.kml" TargetMode="External"/><Relationship Id="rId437" Type="http://schemas.openxmlformats.org/officeDocument/2006/relationships/hyperlink" Target="https://map.geo.admin.ch/?zoom=13&amp;E=2623711&amp;N=1153238&amp;layers=ch.kantone.cadastralwebmap-farbe,ch.swisstopo.amtliches-strassenverzeichnis,ch.bfs.gebaeude_wohnungs_register,KML||https://tinyurl.com/yy7ya4g9/BE/0567_bdg_erw.kml" TargetMode="External"/><Relationship Id="rId644" Type="http://schemas.openxmlformats.org/officeDocument/2006/relationships/hyperlink" Target="https://map.geo.admin.ch/?zoom=13&amp;E=2616082.811&amp;N=1171307.613&amp;layers=ch.kantone.cadastralwebmap-farbe,ch.swisstopo.amtliches-strassenverzeichnis,ch.bfs.gebaeude_wohnungs_register,KML||https://tinyurl.com/yy7ya4g9/BE/0768_bdg_erw.kml" TargetMode="External"/><Relationship Id="rId851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283" Type="http://schemas.openxmlformats.org/officeDocument/2006/relationships/hyperlink" Target="https://map.geo.admin.ch/?zoom=13&amp;E=2613069.53&amp;N=1221482.8&amp;layers=ch.kantone.cadastralwebmap-farbe,ch.swisstopo.amtliches-strassenverzeichnis,ch.bfs.gebaeude_wohnungs_register,KML||https://tinyurl.com/yy7ya4g9/BE/0423_bdg_erw.kml" TargetMode="External"/><Relationship Id="rId490" Type="http://schemas.openxmlformats.org/officeDocument/2006/relationships/hyperlink" Target="https://map.geo.admin.ch/?zoom=13&amp;E=2616372.708&amp;N=1198779.25&amp;layers=ch.kantone.cadastralwebmap-farbe,ch.swisstopo.amtliches-strassenverzeichnis,ch.bfs.gebaeude_wohnungs_register,KML||https://tinyurl.com/yy7ya4g9/BE/0602_bdg_erw.kml" TargetMode="External"/><Relationship Id="rId504" Type="http://schemas.openxmlformats.org/officeDocument/2006/relationships/hyperlink" Target="https://map.geo.admin.ch/?zoom=13&amp;E=2609022&amp;N=1191587.625&amp;layers=ch.kantone.cadastralwebmap-farbe,ch.swisstopo.amtliches-strassenverzeichnis,ch.bfs.gebaeude_wohnungs_register,KML||https://tinyurl.com/yy7ya4g9/BE/0616_bdg_erw.kml" TargetMode="External"/><Relationship Id="rId711" Type="http://schemas.openxmlformats.org/officeDocument/2006/relationships/hyperlink" Target="https://map.geo.admin.ch/?zoom=13&amp;E=2607062&amp;N=1181393&amp;layers=ch.kantone.cadastralwebmap-farbe,ch.swisstopo.amtliches-strassenverzeichnis,ch.bfs.gebaeude_wohnungs_register,KML||https://tinyurl.com/yy7ya4g9/BE/0867_bdg_erw.kml" TargetMode="External"/><Relationship Id="rId949" Type="http://schemas.openxmlformats.org/officeDocument/2006/relationships/hyperlink" Target="https://map.geo.admin.ch/?zoom=13&amp;E=2615655.116&amp;N=1181829.847&amp;layers=ch.kantone.cadastralwebmap-farbe,ch.swisstopo.amtliches-strassenverzeichnis,ch.bfs.gebaeude_wohnungs_register,KML||https://tinyurl.com/yy7ya4g9/BE/0939_bdg_erw.kml" TargetMode="External"/><Relationship Id="rId1134" Type="http://schemas.openxmlformats.org/officeDocument/2006/relationships/hyperlink" Target="https://map.geo.admin.ch/?zoom=13&amp;E=2616957.5&amp;N=1229460&amp;layers=ch.kantone.cadastralwebmap-farbe,ch.swisstopo.amtliches-strassenverzeichnis,ch.bfs.gebaeude_wohnungs_register,KML||https://tinyurl.com/yy7ya4g9/BE/0992_bdg_erw.kml" TargetMode="External"/><Relationship Id="rId78" Type="http://schemas.openxmlformats.org/officeDocument/2006/relationships/hyperlink" Target="https://map.geo.admin.ch/?zoom=13&amp;E=2628425&amp;N=1232663&amp;layers=ch.kantone.cadastralwebmap-farbe,ch.swisstopo.amtliches-strassenverzeichnis,ch.bfs.gebaeude_wohnungs_register,KML||https://tinyurl.com/yy7ya4g9/BE/0337_bdg_erw.kml" TargetMode="External"/><Relationship Id="rId143" Type="http://schemas.openxmlformats.org/officeDocument/2006/relationships/hyperlink" Target="https://map.geo.admin.ch/?zoom=13&amp;E=2601243&amp;N=1204696&amp;layers=ch.kantone.cadastralwebmap-farbe,ch.swisstopo.amtliches-strassenverzeichnis,ch.bfs.gebaeude_wohnungs_register,KML||https://tinyurl.com/yy7ya4g9/BE/0361_bdg_erw.kml" TargetMode="External"/><Relationship Id="rId350" Type="http://schemas.openxmlformats.org/officeDocument/2006/relationships/hyperlink" Target="https://map.geo.admin.ch/?zoom=13&amp;E=2617136&amp;N=1160587&amp;layers=ch.kantone.cadastralwebmap-farbe,ch.swisstopo.amtliches-strassenverzeichnis,ch.bfs.gebaeude_wohnungs_register,KML||https://tinyurl.com/yy7ya4g9/BE/0563_bdg_erw.kml" TargetMode="External"/><Relationship Id="rId588" Type="http://schemas.openxmlformats.org/officeDocument/2006/relationships/hyperlink" Target="https://map.geo.admin.ch/?zoom=13&amp;E=2583029.707&amp;N=1215340.159&amp;layers=ch.kantone.cadastralwebmap-farbe,ch.swisstopo.amtliches-strassenverzeichnis,ch.bfs.gebaeude_wohnungs_register,KML||https://tinyurl.com/yy7ya4g9/BE/0742_bdg_erw.kml" TargetMode="External"/><Relationship Id="rId795" Type="http://schemas.openxmlformats.org/officeDocument/2006/relationships/hyperlink" Target="https://map.geo.admin.ch/?zoom=13&amp;E=2607760&amp;N=1181930&amp;layers=ch.kantone.cadastralwebmap-farbe,ch.swisstopo.amtliches-strassenverzeichnis,ch.bfs.gebaeude_wohnungs_register,KML||https://tinyurl.com/yy7ya4g9/BE/0883_bdg_erw.kml" TargetMode="External"/><Relationship Id="rId809" Type="http://schemas.openxmlformats.org/officeDocument/2006/relationships/hyperlink" Target="https://map.geo.admin.ch/?zoom=13&amp;E=2604886&amp;N=1178995&amp;layers=ch.kantone.cadastralwebmap-farbe,ch.swisstopo.amtliches-strassenverzeichnis,ch.bfs.gebaeude_wohnungs_register,KML||https://tinyurl.com/yy7ya4g9/BE/0886_bdg_erw.kml" TargetMode="External"/><Relationship Id="rId9" Type="http://schemas.openxmlformats.org/officeDocument/2006/relationships/hyperlink" Target="https://map.geo.admin.ch/?zoom=13&amp;E=2586730.11&amp;N=1209863.37&amp;layers=ch.kantone.cadastralwebmap-farbe,ch.swisstopo.amtliches-strassenverzeichnis,ch.bfs.gebaeude_wohnungs_register,KML||https://tinyurl.com/yy7ya4g9/BE/0302_bdg_erw.kml" TargetMode="External"/><Relationship Id="rId210" Type="http://schemas.openxmlformats.org/officeDocument/2006/relationships/hyperlink" Target="https://map.geo.admin.ch/?zoom=13&amp;E=2600626.321&amp;N=1224961.225&amp;layers=ch.kantone.cadastralwebmap-farbe,ch.swisstopo.amtliches-strassenverzeichnis,ch.bfs.gebaeude_wohnungs_register,KML||https://tinyurl.com/yy7ya4g9/BE/0388_bdg_erw.kml" TargetMode="External"/><Relationship Id="rId448" Type="http://schemas.openxmlformats.org/officeDocument/2006/relationships/hyperlink" Target="https://map.geo.admin.ch/?zoom=13&amp;E=2650535.618&amp;N=1178055.098&amp;layers=ch.kantone.cadastralwebmap-farbe,ch.swisstopo.amtliches-strassenverzeichnis,ch.bfs.gebaeude_wohnungs_register,KML||https://tinyurl.com/yy7ya4g9/BE/0574_bdg_erw.kml" TargetMode="External"/><Relationship Id="rId655" Type="http://schemas.openxmlformats.org/officeDocument/2006/relationships/hyperlink" Target="https://map.geo.admin.ch/?zoom=13&amp;E=2650930&amp;N=1176745&amp;layers=ch.kantone.cadastralwebmap-farbe,ch.swisstopo.amtliches-strassenverzeichnis,ch.bfs.gebaeude_wohnungs_register,KML||https://tinyurl.com/yy7ya4g9/BE/0785_bdg_erw.kml" TargetMode="External"/><Relationship Id="rId862" Type="http://schemas.openxmlformats.org/officeDocument/2006/relationships/hyperlink" Target="https://map.geo.admin.ch/?zoom=13&amp;E=2604824.987&amp;N=1185280.961&amp;layers=ch.kantone.cadastralwebmap-farbe,ch.swisstopo.amtliches-strassenverzeichnis,ch.bfs.gebaeude_wohnungs_register,KML||https://tinyurl.com/yy7ya4g9/BE/0889_bdg_erw.kml" TargetMode="External"/><Relationship Id="rId1078" Type="http://schemas.openxmlformats.org/officeDocument/2006/relationships/hyperlink" Target="https://map.geo.admin.ch/?zoom=13&amp;E=2619304.25&amp;N=1235902.375&amp;layers=ch.kantone.cadastralwebmap-farbe,ch.swisstopo.amtliches-strassenverzeichnis,ch.bfs.gebaeude_wohnungs_register,KML||https://tinyurl.com/yy7ya4g9/BE/0981_bdg_erw.kml" TargetMode="External"/><Relationship Id="rId294" Type="http://schemas.openxmlformats.org/officeDocument/2006/relationships/hyperlink" Target="https://map.geo.admin.ch/?zoom=13&amp;E=2580422.842&amp;N=1208062.714&amp;layers=ch.kantone.cadastralwebmap-farbe,ch.swisstopo.amtliches-strassenverzeichnis,ch.bfs.gebaeude_wohnungs_register,KML||https://tinyurl.com/yy7ya4g9/BE/0493_bdg_erw.kml" TargetMode="External"/><Relationship Id="rId308" Type="http://schemas.openxmlformats.org/officeDocument/2006/relationships/hyperlink" Target="https://map.geo.admin.ch/?zoom=13&amp;E=2605770.543&amp;N=1214443.103&amp;layers=ch.kantone.cadastralwebmap-farbe,ch.swisstopo.amtliches-strassenverzeichnis,ch.bfs.gebaeude_wohnungs_register,KML||https://tinyurl.com/yy7ya4g9/BE/0538_bdg_erw.kml" TargetMode="External"/><Relationship Id="rId515" Type="http://schemas.openxmlformats.org/officeDocument/2006/relationships/hyperlink" Target="https://map.geo.admin.ch/?zoom=13&amp;E=2614646.403&amp;N=1184328.888&amp;layers=ch.kantone.cadastralwebmap-farbe,ch.swisstopo.amtliches-strassenverzeichnis,ch.bfs.gebaeude_wohnungs_register,KML||https://tinyurl.com/yy7ya4g9/BE/0619_bdg_erw.kml" TargetMode="External"/><Relationship Id="rId722" Type="http://schemas.openxmlformats.org/officeDocument/2006/relationships/hyperlink" Target="https://map.geo.admin.ch/?zoom=13&amp;E=2608039&amp;N=1184985&amp;layers=ch.kantone.cadastralwebmap-farbe,ch.swisstopo.amtliches-strassenverzeichnis,ch.bfs.gebaeude_wohnungs_register,KML||https://tinyurl.com/yy7ya4g9/BE/0872_bdg_erw.kml" TargetMode="External"/><Relationship Id="rId89" Type="http://schemas.openxmlformats.org/officeDocument/2006/relationships/hyperlink" Target="https://map.geo.admin.ch/?zoom=13&amp;E=2622922&amp;N=1229183&amp;layers=ch.kantone.cadastralwebmap-farbe,ch.swisstopo.amtliches-strassenverzeichnis,ch.bfs.gebaeude_wohnungs_register,KML||https://tinyurl.com/yy7ya4g9/BE/0342_bdg_erw.kml" TargetMode="External"/><Relationship Id="rId154" Type="http://schemas.openxmlformats.org/officeDocument/2006/relationships/hyperlink" Target="https://map.geo.admin.ch/?zoom=13&amp;E=2585586.885&amp;N=1219702.459&amp;layers=ch.kantone.cadastralwebmap-farbe,ch.swisstopo.amtliches-strassenverzeichnis,ch.bfs.gebaeude_wohnungs_register,KML||https://tinyurl.com/yy7ya4g9/BE/0371_bdg_erw.kml" TargetMode="External"/><Relationship Id="rId361" Type="http://schemas.openxmlformats.org/officeDocument/2006/relationships/hyperlink" Target="https://map.geo.admin.ch/?zoom=13&amp;E=2612653.5&amp;N=1152815.125&amp;layers=ch.kantone.cadastralwebmap-farbe,ch.swisstopo.amtliches-strassenverzeichnis,ch.bfs.gebaeude_wohnungs_register,KML||https://tinyurl.com/yy7ya4g9/BE/0563_bdg_erw.kml" TargetMode="External"/><Relationship Id="rId599" Type="http://schemas.openxmlformats.org/officeDocument/2006/relationships/hyperlink" Target="https://map.geo.admin.ch/?zoom=13&amp;E=2590459.216&amp;N=1222227.87&amp;layers=ch.kantone.cadastralwebmap-farbe,ch.swisstopo.amtliches-strassenverzeichnis,ch.bfs.gebaeude_wohnungs_register,KML||https://tinyurl.com/yy7ya4g9/BE/0746_bdg_erw.kml" TargetMode="External"/><Relationship Id="rId1005" Type="http://schemas.openxmlformats.org/officeDocument/2006/relationships/hyperlink" Target="https://map.geo.admin.ch/?zoom=13&amp;E=2618499.75&amp;N=1206696.5&amp;layers=ch.kantone.cadastralwebmap-farbe,ch.swisstopo.amtliches-strassenverzeichnis,ch.bfs.gebaeude_wohnungs_register,KML||https://tinyurl.com/yy7ya4g9/BE/0955_bdg_erw.kml" TargetMode="External"/><Relationship Id="rId459" Type="http://schemas.openxmlformats.org/officeDocument/2006/relationships/hyperlink" Target="https://map.geo.admin.ch/?zoom=13&amp;E=2632110&amp;N=1174880&amp;layers=ch.kantone.cadastralwebmap-farbe,ch.swisstopo.amtliches-strassenverzeichnis,ch.bfs.gebaeude_wohnungs_register,KML||https://tinyurl.com/yy7ya4g9/BE/0579_bdg_erw.kml" TargetMode="External"/><Relationship Id="rId666" Type="http://schemas.openxmlformats.org/officeDocument/2006/relationships/hyperlink" Target="https://map.geo.admin.ch/?zoom=13&amp;E=2597828.169&amp;N=1149957.46&amp;layers=ch.kantone.cadastralwebmap-farbe,ch.swisstopo.amtliches-strassenverzeichnis,ch.bfs.gebaeude_wohnungs_register,KML||https://tinyurl.com/yy7ya4g9/BE/0793_bdg_erw.kml" TargetMode="External"/><Relationship Id="rId873" Type="http://schemas.openxmlformats.org/officeDocument/2006/relationships/hyperlink" Target="https://map.geo.admin.ch/?zoom=13&amp;E=2626807&amp;N=1199058&amp;layers=ch.kantone.cadastralwebmap-farbe,ch.swisstopo.amtliches-strassenverzeichnis,ch.bfs.gebaeude_wohnungs_register,KML||https://tinyurl.com/yy7ya4g9/BE/0902_bdg_erw.kml" TargetMode="External"/><Relationship Id="rId1089" Type="http://schemas.openxmlformats.org/officeDocument/2006/relationships/hyperlink" Target="https://map.geo.admin.ch/?zoom=13&amp;E=2618794.25&amp;N=1231152.125&amp;layers=ch.kantone.cadastralwebmap-farbe,ch.swisstopo.amtliches-strassenverzeichnis,ch.bfs.gebaeude_wohnungs_register,KML||https://tinyurl.com/yy7ya4g9/BE/0991_bdg_erw.kml" TargetMode="External"/><Relationship Id="rId16" Type="http://schemas.openxmlformats.org/officeDocument/2006/relationships/hyperlink" Target="https://map.geo.admin.ch/?zoom=13&amp;E=2590086.232&amp;N=1215519.384&amp;layers=ch.kantone.cadastralwebmap-farbe,ch.swisstopo.amtliches-strassenverzeichnis,ch.bfs.gebaeude_wohnungs_register,KML||https://tinyurl.com/yy7ya4g9/BE/0306_bdg_erw.kml" TargetMode="External"/><Relationship Id="rId221" Type="http://schemas.openxmlformats.org/officeDocument/2006/relationships/hyperlink" Target="https://map.geo.admin.ch/?zoom=13&amp;E=2614422&amp;N=1219062&amp;layers=ch.kantone.cadastralwebmap-farbe,ch.swisstopo.amtliches-strassenverzeichnis,ch.bfs.gebaeude_wohnungs_register,KML||https://tinyurl.com/yy7ya4g9/BE/0402_bdg_erw.kml" TargetMode="External"/><Relationship Id="rId319" Type="http://schemas.openxmlformats.org/officeDocument/2006/relationships/hyperlink" Target="https://map.geo.admin.ch/?zoom=13&amp;E=2605102.331&amp;N=1211274.932&amp;layers=ch.kantone.cadastralwebmap-farbe,ch.swisstopo.amtliches-strassenverzeichnis,ch.bfs.gebaeude_wohnungs_register,KML||https://tinyurl.com/yy7ya4g9/BE/0540_bdg_erw.kml" TargetMode="External"/><Relationship Id="rId526" Type="http://schemas.openxmlformats.org/officeDocument/2006/relationships/hyperlink" Target="https://map.geo.admin.ch/?zoom=13&amp;E=2608925.76&amp;N=1199043.536&amp;layers=ch.kantone.cadastralwebmap-farbe,ch.swisstopo.amtliches-strassenverzeichnis,ch.bfs.gebaeude_wohnungs_register,KML||https://tinyurl.com/yy7ya4g9/BE/0627_bdg_erw.kml" TargetMode="External"/><Relationship Id="rId733" Type="http://schemas.openxmlformats.org/officeDocument/2006/relationships/hyperlink" Target="https://map.geo.admin.ch/?zoom=13&amp;E=2607068.5&amp;N=1186081.75&amp;layers=ch.kantone.cadastralwebmap-farbe,ch.swisstopo.amtliches-strassenverzeichnis,ch.bfs.gebaeude_wohnungs_register,KML||https://tinyurl.com/yy7ya4g9/BE/0872_bdg_erw.kml" TargetMode="External"/><Relationship Id="rId940" Type="http://schemas.openxmlformats.org/officeDocument/2006/relationships/hyperlink" Target="https://map.geo.admin.ch/?zoom=13&amp;E=2613692.442&amp;N=1181000.213&amp;layers=ch.kantone.cadastralwebmap-farbe,ch.swisstopo.amtliches-strassenverzeichnis,ch.bfs.gebaeude_wohnungs_register,KML||https://tinyurl.com/yy7ya4g9/BE/0939_bdg_erw.kml" TargetMode="External"/><Relationship Id="rId1016" Type="http://schemas.openxmlformats.org/officeDocument/2006/relationships/hyperlink" Target="https://map.geo.admin.ch/?zoom=13&amp;E=2622670.983&amp;N=1210033.271&amp;layers=ch.kantone.cadastralwebmap-farbe,ch.swisstopo.amtliches-strassenverzeichnis,ch.bfs.gebaeude_wohnungs_register,KML||https://tinyurl.com/yy7ya4g9/BE/0957_bdg_erw.kml" TargetMode="External"/><Relationship Id="rId165" Type="http://schemas.openxmlformats.org/officeDocument/2006/relationships/hyperlink" Target="https://map.geo.admin.ch/?zoom=13&amp;E=2589204.632&amp;N=1223300.964&amp;layers=ch.kantone.cadastralwebmap-farbe,ch.swisstopo.amtliches-strassenverzeichnis,ch.bfs.gebaeude_wohnungs_register,KML||https://tinyurl.com/yy7ya4g9/BE/0371_bdg_erw.kml" TargetMode="External"/><Relationship Id="rId372" Type="http://schemas.openxmlformats.org/officeDocument/2006/relationships/hyperlink" Target="https://map.geo.admin.ch/?zoom=13&amp;E=2612830.25&amp;N=1154275.625&amp;layers=ch.kantone.cadastralwebmap-farbe,ch.swisstopo.amtliches-strassenverzeichnis,ch.bfs.gebaeude_wohnungs_register,KML||https://tinyurl.com/yy7ya4g9/BE/0563_bdg_erw.kml" TargetMode="External"/><Relationship Id="rId677" Type="http://schemas.openxmlformats.org/officeDocument/2006/relationships/hyperlink" Target="https://map.geo.admin.ch/?zoom=13&amp;E=2595400&amp;N=1174825&amp;layers=ch.kantone.cadastralwebmap-farbe,ch.swisstopo.amtliches-strassenverzeichnis,ch.bfs.gebaeude_wohnungs_register,KML||https://tinyurl.com/yy7ya4g9/BE/0852_bdg_erw.kml" TargetMode="External"/><Relationship Id="rId800" Type="http://schemas.openxmlformats.org/officeDocument/2006/relationships/hyperlink" Target="https://map.geo.admin.ch/?zoom=13&amp;E=2609859.378&amp;N=1183788.531&amp;layers=ch.kantone.cadastralwebmap-farbe,ch.swisstopo.amtliches-strassenverzeichnis,ch.bfs.gebaeude_wohnungs_register,KML||https://tinyurl.com/yy7ya4g9/BE/0885_bdg_erw.kml" TargetMode="External"/><Relationship Id="rId232" Type="http://schemas.openxmlformats.org/officeDocument/2006/relationships/hyperlink" Target="https://map.geo.admin.ch/?zoom=13&amp;E=2613157&amp;N=1212901.625&amp;layers=ch.kantone.cadastralwebmap-farbe,ch.swisstopo.amtliches-strassenverzeichnis,ch.bfs.gebaeude_wohnungs_register,KML||https://tinyurl.com/yy7ya4g9/BE/0404_bdg_erw.kml" TargetMode="External"/><Relationship Id="rId884" Type="http://schemas.openxmlformats.org/officeDocument/2006/relationships/hyperlink" Target="https://map.geo.admin.ch/?zoom=13&amp;E=2630466.758&amp;N=1197020.803&amp;layers=ch.kantone.cadastralwebmap-farbe,ch.swisstopo.amtliches-strassenverzeichnis,ch.bfs.gebaeude_wohnungs_register,KML||https://tinyurl.com/yy7ya4g9/BE/0909_bdg_erw.kml" TargetMode="External"/><Relationship Id="rId27" Type="http://schemas.openxmlformats.org/officeDocument/2006/relationships/hyperlink" Target="https://map.geo.admin.ch/?zoom=13&amp;E=2589871&amp;N=1214426&amp;layers=ch.kantone.cadastralwebmap-farbe,ch.swisstopo.amtliches-strassenverzeichnis,ch.bfs.gebaeude_wohnungs_register,KML||https://tinyurl.com/yy7ya4g9/BE/0306_bdg_erw.kml" TargetMode="External"/><Relationship Id="rId537" Type="http://schemas.openxmlformats.org/officeDocument/2006/relationships/hyperlink" Target="https://map.geo.admin.ch/?zoom=13&amp;E=2609840.929&amp;N=1187873.036&amp;layers=ch.kantone.cadastralwebmap-farbe,ch.swisstopo.amtliches-strassenverzeichnis,ch.bfs.gebaeude_wohnungs_register,KML||https://tinyurl.com/yy7ya4g9/BE/0632_bdg_erw.kml" TargetMode="External"/><Relationship Id="rId744" Type="http://schemas.openxmlformats.org/officeDocument/2006/relationships/hyperlink" Target="https://map.geo.admin.ch/?zoom=13&amp;E=2603053&amp;N=1189060.125&amp;layers=ch.kantone.cadastralwebmap-farbe,ch.swisstopo.amtliches-strassenverzeichnis,ch.bfs.gebaeude_wohnungs_register,KML||https://tinyurl.com/yy7ya4g9/BE/0877_bdg_erw.kml" TargetMode="External"/><Relationship Id="rId951" Type="http://schemas.openxmlformats.org/officeDocument/2006/relationships/hyperlink" Target="https://map.geo.admin.ch/?zoom=13&amp;E=2610140&amp;N=1178135&amp;layers=ch.kantone.cadastralwebmap-farbe,ch.swisstopo.amtliches-strassenverzeichnis,ch.bfs.gebaeude_wohnungs_register,KML||https://tinyurl.com/yy7ya4g9/BE/0941_bdg_erw.kml" TargetMode="External"/><Relationship Id="rId80" Type="http://schemas.openxmlformats.org/officeDocument/2006/relationships/hyperlink" Target="https://map.geo.admin.ch/?zoom=13&amp;E=2628392&amp;N=1232685&amp;layers=ch.kantone.cadastralwebmap-farbe,ch.swisstopo.amtliches-strassenverzeichnis,ch.bfs.gebaeude_wohnungs_register,KML||https://tinyurl.com/yy7ya4g9/BE/0337_bdg_erw.kml" TargetMode="External"/><Relationship Id="rId176" Type="http://schemas.openxmlformats.org/officeDocument/2006/relationships/hyperlink" Target="https://map.geo.admin.ch/?zoom=13&amp;E=2588291.248&amp;N=1223067.529&amp;layers=ch.kantone.cadastralwebmap-farbe,ch.swisstopo.amtliches-strassenverzeichnis,ch.bfs.gebaeude_wohnungs_register,KML||https://tinyurl.com/yy7ya4g9/BE/0371_bdg_erw.kml" TargetMode="External"/><Relationship Id="rId383" Type="http://schemas.openxmlformats.org/officeDocument/2006/relationships/hyperlink" Target="https://map.geo.admin.ch/?zoom=13&amp;E=2610536.75&amp;N=1152785.625&amp;layers=ch.kantone.cadastralwebmap-farbe,ch.swisstopo.amtliches-strassenverzeichnis,ch.bfs.gebaeude_wohnungs_register,KML||https://tinyurl.com/yy7ya4g9/BE/0563_bdg_erw.kml" TargetMode="External"/><Relationship Id="rId590" Type="http://schemas.openxmlformats.org/officeDocument/2006/relationships/hyperlink" Target="https://map.geo.admin.ch/?zoom=13&amp;E=2585106.391&amp;N=1219215.578&amp;layers=ch.kantone.cadastralwebmap-farbe,ch.swisstopo.amtliches-strassenverzeichnis,ch.bfs.gebaeude_wohnungs_register,KML||https://tinyurl.com/yy7ya4g9/BE/0743_bdg_erw.kml" TargetMode="External"/><Relationship Id="rId604" Type="http://schemas.openxmlformats.org/officeDocument/2006/relationships/hyperlink" Target="https://map.geo.admin.ch/?zoom=13&amp;E=2589821.287&amp;N=1217924.558&amp;layers=ch.kantone.cadastralwebmap-farbe,ch.swisstopo.amtliches-strassenverzeichnis,ch.bfs.gebaeude_wohnungs_register,KML||https://tinyurl.com/yy7ya4g9/BE/0749_bdg_erw.kml" TargetMode="External"/><Relationship Id="rId811" Type="http://schemas.openxmlformats.org/officeDocument/2006/relationships/hyperlink" Target="https://map.geo.admin.ch/?zoom=13&amp;E=2604982&amp;N=1178831&amp;layers=ch.kantone.cadastralwebmap-farbe,ch.swisstopo.amtliches-strassenverzeichnis,ch.bfs.gebaeude_wohnungs_register,KML||https://tinyurl.com/yy7ya4g9/BE/0886_bdg_erw.kml" TargetMode="External"/><Relationship Id="rId1027" Type="http://schemas.openxmlformats.org/officeDocument/2006/relationships/hyperlink" Target="https://map.geo.admin.ch/?zoom=13&amp;E=2623374.746&amp;N=1209476.448&amp;layers=ch.kantone.cadastralwebmap-farbe,ch.swisstopo.amtliches-strassenverzeichnis,ch.bfs.gebaeude_wohnungs_register,KML||https://tinyurl.com/yy7ya4g9/BE/0957_bdg_erw.kml" TargetMode="External"/><Relationship Id="rId243" Type="http://schemas.openxmlformats.org/officeDocument/2006/relationships/hyperlink" Target="https://map.geo.admin.ch/?zoom=13&amp;E=2614571.227&amp;N=1209497.005&amp;layers=ch.kantone.cadastralwebmap-farbe,ch.swisstopo.amtliches-strassenverzeichnis,ch.bfs.gebaeude_wohnungs_register,KML||https://tinyurl.com/yy7ya4g9/BE/0404_bdg_erw.kml" TargetMode="External"/><Relationship Id="rId450" Type="http://schemas.openxmlformats.org/officeDocument/2006/relationships/hyperlink" Target="https://map.geo.admin.ch/?zoom=13&amp;E=2650874.25&amp;N=1178122.125&amp;layers=ch.kantone.cadastralwebmap-farbe,ch.swisstopo.amtliches-strassenverzeichnis,ch.bfs.gebaeude_wohnungs_register,KML||https://tinyurl.com/yy7ya4g9/BE/0574_bdg_erw.kml" TargetMode="External"/><Relationship Id="rId688" Type="http://schemas.openxmlformats.org/officeDocument/2006/relationships/hyperlink" Target="https://map.geo.admin.ch/?zoom=13&amp;E=2597914.958&amp;N=1180970.291&amp;layers=ch.kantone.cadastralwebmap-farbe,ch.swisstopo.amtliches-strassenverzeichnis,ch.bfs.gebaeude_wohnungs_register,KML||https://tinyurl.com/yy7ya4g9/BE/0853_bdg_erw.kml" TargetMode="External"/><Relationship Id="rId895" Type="http://schemas.openxmlformats.org/officeDocument/2006/relationships/hyperlink" Target="https://map.geo.admin.ch/?zoom=13&amp;E=2618332.454&amp;N=1185858.714&amp;layers=ch.kantone.cadastralwebmap-farbe,ch.swisstopo.amtliches-strassenverzeichnis,ch.bfs.gebaeude_wohnungs_register,KML||https://tinyurl.com/yy7ya4g9/BE/0923_bdg_erw.kml" TargetMode="External"/><Relationship Id="rId909" Type="http://schemas.openxmlformats.org/officeDocument/2006/relationships/hyperlink" Target="https://map.geo.admin.ch/?zoom=13&amp;E=2615426&amp;N=1177190&amp;layers=ch.kantone.cadastralwebmap-farbe,ch.swisstopo.amtliches-strassenverzeichnis,ch.bfs.gebaeude_wohnungs_register,KML||https://tinyurl.com/yy7ya4g9/BE/0929_bdg_erw.kml" TargetMode="External"/><Relationship Id="rId1080" Type="http://schemas.openxmlformats.org/officeDocument/2006/relationships/hyperlink" Target="https://map.geo.admin.ch/?zoom=13&amp;E=2619665.5&amp;N=1235137.1&amp;layers=ch.kantone.cadastralwebmap-farbe,ch.swisstopo.amtliches-strassenverzeichnis,ch.bfs.gebaeude_wohnungs_register,KML||https://tinyurl.com/yy7ya4g9/BE/0981_bdg_erw.kml" TargetMode="External"/><Relationship Id="rId38" Type="http://schemas.openxmlformats.org/officeDocument/2006/relationships/hyperlink" Target="https://map.geo.admin.ch/?zoom=13&amp;E=2599499&amp;N=1209878&amp;layers=ch.kantone.cadastralwebmap-farbe,ch.swisstopo.amtliches-strassenverzeichnis,ch.bfs.gebaeude_wohnungs_register,KML||https://tinyurl.com/yy7ya4g9/BE/0310_bdg_erw.kml" TargetMode="External"/><Relationship Id="rId103" Type="http://schemas.openxmlformats.org/officeDocument/2006/relationships/hyperlink" Target="https://map.geo.admin.ch/?zoom=13&amp;E=2599233.48&amp;N=1202343.84&amp;layers=ch.kantone.cadastralwebmap-farbe,ch.swisstopo.amtliches-strassenverzeichnis,ch.bfs.gebaeude_wohnungs_register,KML||https://tinyurl.com/yy7ya4g9/BE/0351_bdg_erw.kml" TargetMode="External"/><Relationship Id="rId310" Type="http://schemas.openxmlformats.org/officeDocument/2006/relationships/hyperlink" Target="https://map.geo.admin.ch/?zoom=13&amp;E=2606704.75&amp;N=1214740.875&amp;layers=ch.kantone.cadastralwebmap-farbe,ch.swisstopo.amtliches-strassenverzeichnis,ch.bfs.gebaeude_wohnungs_register,KML||https://tinyurl.com/yy7ya4g9/BE/0538_bdg_erw.kml" TargetMode="External"/><Relationship Id="rId548" Type="http://schemas.openxmlformats.org/officeDocument/2006/relationships/hyperlink" Target="https://map.geo.admin.ch/?zoom=13&amp;E=2583717.5&amp;N=1195585.875&amp;layers=ch.kantone.cadastralwebmap-farbe,ch.swisstopo.amtliches-strassenverzeichnis,ch.bfs.gebaeude_wohnungs_register,KML||https://tinyurl.com/yy7ya4g9/BE/0666_bdg_erw.kml" TargetMode="External"/><Relationship Id="rId755" Type="http://schemas.openxmlformats.org/officeDocument/2006/relationships/hyperlink" Target="https://map.geo.admin.ch/?zoom=13&amp;E=2602172.5&amp;N=1189839.625&amp;layers=ch.kantone.cadastralwebmap-farbe,ch.swisstopo.amtliches-strassenverzeichnis,ch.bfs.gebaeude_wohnungs_register,KML||https://tinyurl.com/yy7ya4g9/BE/0877_bdg_erw.kml" TargetMode="External"/><Relationship Id="rId962" Type="http://schemas.openxmlformats.org/officeDocument/2006/relationships/hyperlink" Target="https://map.geo.admin.ch/?zoom=13&amp;E=2614199.886&amp;N=1177808.037&amp;layers=ch.kantone.cadastralwebmap-farbe,ch.swisstopo.amtliches-strassenverzeichnis,ch.bfs.gebaeude_wohnungs_register,KML||https://tinyurl.com/yy7ya4g9/BE/0942_bdg_erw.kml" TargetMode="External"/><Relationship Id="rId91" Type="http://schemas.openxmlformats.org/officeDocument/2006/relationships/hyperlink" Target="https://map.geo.admin.ch/?zoom=13&amp;E=2623500.641&amp;N=1229250.754&amp;layers=ch.kantone.cadastralwebmap-farbe,ch.swisstopo.amtliches-strassenverzeichnis,ch.bfs.gebaeude_wohnungs_register,KML||https://tinyurl.com/yy7ya4g9/BE/0342_bdg_erw.kml" TargetMode="External"/><Relationship Id="rId187" Type="http://schemas.openxmlformats.org/officeDocument/2006/relationships/hyperlink" Target="https://map.geo.admin.ch/?zoom=13&amp;E=2585078&amp;N=1220184&amp;layers=ch.kantone.cadastralwebmap-farbe,ch.swisstopo.amtliches-strassenverzeichnis,ch.bfs.gebaeude_wohnungs_register,KML||https://tinyurl.com/yy7ya4g9/BE/0371_bdg_erw.kml" TargetMode="External"/><Relationship Id="rId394" Type="http://schemas.openxmlformats.org/officeDocument/2006/relationships/hyperlink" Target="https://map.geo.admin.ch/?zoom=13&amp;E=2625809&amp;N=1157455&amp;layers=ch.kantone.cadastralwebmap-farbe,ch.swisstopo.amtliches-strassenverzeichnis,ch.bfs.gebaeude_wohnungs_register,KML||https://tinyurl.com/yy7ya4g9/BE/0567_bdg_erw.kml" TargetMode="External"/><Relationship Id="rId408" Type="http://schemas.openxmlformats.org/officeDocument/2006/relationships/hyperlink" Target="https://map.geo.admin.ch/?zoom=13&amp;E=2618444&amp;N=1164379&amp;layers=ch.kantone.cadastralwebmap-farbe,ch.swisstopo.amtliches-strassenverzeichnis,ch.bfs.gebaeude_wohnungs_register,KML||https://tinyurl.com/yy7ya4g9/BE/0567_bdg_erw.kml" TargetMode="External"/><Relationship Id="rId615" Type="http://schemas.openxmlformats.org/officeDocument/2006/relationships/hyperlink" Target="https://map.geo.admin.ch/?zoom=13&amp;E=2584372.189&amp;N=1212479.651&amp;layers=ch.kantone.cadastralwebmap-farbe,ch.swisstopo.amtliches-strassenverzeichnis,ch.bfs.gebaeude_wohnungs_register,KML||https://tinyurl.com/yy7ya4g9/BE/0754_bdg_erw.kml" TargetMode="External"/><Relationship Id="rId822" Type="http://schemas.openxmlformats.org/officeDocument/2006/relationships/hyperlink" Target="https://map.geo.admin.ch/?zoom=13&amp;E=2604981&amp;N=1178185&amp;layers=ch.kantone.cadastralwebmap-farbe,ch.swisstopo.amtliches-strassenverzeichnis,ch.bfs.gebaeude_wohnungs_register,KML||https://tinyurl.com/yy7ya4g9/BE/0886_bdg_erw.kml" TargetMode="External"/><Relationship Id="rId1038" Type="http://schemas.openxmlformats.org/officeDocument/2006/relationships/hyperlink" Target="https://map.geo.admin.ch/?zoom=13&amp;E=2624867.818&amp;N=1216647.669&amp;layers=ch.kantone.cadastralwebmap-farbe,ch.swisstopo.amtliches-strassenverzeichnis,ch.bfs.gebaeude_wohnungs_register,KML||https://tinyurl.com/yy7ya4g9/BE/0959_bdg_erw.kml" TargetMode="External"/><Relationship Id="rId254" Type="http://schemas.openxmlformats.org/officeDocument/2006/relationships/hyperlink" Target="https://map.geo.admin.ch/?zoom=13&amp;E=2611500&amp;N=1214243&amp;layers=ch.kantone.cadastralwebmap-farbe,ch.swisstopo.amtliches-strassenverzeichnis,ch.bfs.gebaeude_wohnungs_register,KML||https://tinyurl.com/yy7ya4g9/BE/0412_bdg_erw.kml" TargetMode="External"/><Relationship Id="rId699" Type="http://schemas.openxmlformats.org/officeDocument/2006/relationships/hyperlink" Target="https://map.geo.admin.ch/?zoom=13&amp;E=2605078.46&amp;N=1191859.26&amp;layers=ch.kantone.cadastralwebmap-farbe,ch.swisstopo.amtliches-strassenverzeichnis,ch.bfs.gebaeude_wohnungs_register,KML||https://tinyurl.com/yy7ya4g9/BE/0861_bdg_erw.kml" TargetMode="External"/><Relationship Id="rId1091" Type="http://schemas.openxmlformats.org/officeDocument/2006/relationships/hyperlink" Target="https://map.geo.admin.ch/?zoom=13&amp;E=2618760&amp;N=1230652.75&amp;layers=ch.kantone.cadastralwebmap-farbe,ch.swisstopo.amtliches-strassenverzeichnis,ch.bfs.gebaeude_wohnungs_register,KML||https://tinyurl.com/yy7ya4g9/BE/0991_bdg_erw.kml" TargetMode="External"/><Relationship Id="rId1105" Type="http://schemas.openxmlformats.org/officeDocument/2006/relationships/hyperlink" Target="https://map.geo.admin.ch/?zoom=13&amp;E=2618611.5&amp;N=1231229.875&amp;layers=ch.kantone.cadastralwebmap-farbe,ch.swisstopo.amtliches-strassenverzeichnis,ch.bfs.gebaeude_wohnungs_register,KML||https://tinyurl.com/yy7ya4g9/BE/0991_bdg_erw.kml" TargetMode="External"/><Relationship Id="rId49" Type="http://schemas.openxmlformats.org/officeDocument/2006/relationships/hyperlink" Target="https://map.geo.admin.ch/?zoom=13&amp;E=2624156.25&amp;N=1225700.5&amp;layers=ch.kantone.cadastralwebmap-farbe,ch.swisstopo.amtliches-strassenverzeichnis,ch.bfs.gebaeude_wohnungs_register,KML||https://tinyurl.com/yy7ya4g9/BE/0324_bdg_erw.kml" TargetMode="External"/><Relationship Id="rId114" Type="http://schemas.openxmlformats.org/officeDocument/2006/relationships/hyperlink" Target="https://map.geo.admin.ch/?zoom=13&amp;E=2604838.4&amp;N=1203027.13&amp;layers=ch.kantone.cadastralwebmap-farbe,ch.swisstopo.amtliches-strassenverzeichnis,ch.bfs.gebaeude_wohnungs_register,KML||https://tinyurl.com/yy7ya4g9/BE/0352_bdg_erw.kml" TargetMode="External"/><Relationship Id="rId461" Type="http://schemas.openxmlformats.org/officeDocument/2006/relationships/hyperlink" Target="https://map.geo.admin.ch/?zoom=13&amp;E=2633110.377&amp;N=1170500.216&amp;layers=ch.kantone.cadastralwebmap-farbe,ch.swisstopo.amtliches-strassenverzeichnis,ch.bfs.gebaeude_wohnungs_register,KML||https://tinyurl.com/yy7ya4g9/BE/0581_bdg_erw.kml" TargetMode="External"/><Relationship Id="rId559" Type="http://schemas.openxmlformats.org/officeDocument/2006/relationships/hyperlink" Target="https://map.geo.admin.ch/?zoom=13&amp;E=2594207.25&amp;N=1235038.125&amp;layers=ch.kantone.cadastralwebmap-farbe,ch.swisstopo.amtliches-strassenverzeichnis,ch.bfs.gebaeude_wohnungs_register,KML||https://tinyurl.com/yy7ya4g9/BE/0700_bdg_erw.kml" TargetMode="External"/><Relationship Id="rId766" Type="http://schemas.openxmlformats.org/officeDocument/2006/relationships/hyperlink" Target="https://map.geo.admin.ch/?zoom=13&amp;E=2600037&amp;N=1189205.125&amp;layers=ch.kantone.cadastralwebmap-farbe,ch.swisstopo.amtliches-strassenverzeichnis,ch.bfs.gebaeude_wohnungs_register,KML||https://tinyurl.com/yy7ya4g9/BE/0877_bdg_erw.kml" TargetMode="External"/><Relationship Id="rId198" Type="http://schemas.openxmlformats.org/officeDocument/2006/relationships/hyperlink" Target="https://map.geo.admin.ch/?zoom=13&amp;E=2594308&amp;N=1224886&amp;layers=ch.kantone.cadastralwebmap-farbe,ch.swisstopo.amtliches-strassenverzeichnis,ch.bfs.gebaeude_wohnungs_register,KML||https://tinyurl.com/yy7ya4g9/BE/0387_bdg_erw.kml" TargetMode="External"/><Relationship Id="rId321" Type="http://schemas.openxmlformats.org/officeDocument/2006/relationships/hyperlink" Target="https://map.geo.admin.ch/?zoom=13&amp;E=2600424.787&amp;N=1208376.27&amp;layers=ch.kantone.cadastralwebmap-farbe,ch.swisstopo.amtliches-strassenverzeichnis,ch.bfs.gebaeude_wohnungs_register,KML||https://tinyurl.com/yy7ya4g9/BE/0546_bdg_erw.kml" TargetMode="External"/><Relationship Id="rId419" Type="http://schemas.openxmlformats.org/officeDocument/2006/relationships/hyperlink" Target="https://map.geo.admin.ch/?zoom=13&amp;E=2624842&amp;N=1155724&amp;layers=ch.kantone.cadastralwebmap-farbe,ch.swisstopo.amtliches-strassenverzeichnis,ch.bfs.gebaeude_wohnungs_register,KML||https://tinyurl.com/yy7ya4g9/BE/0567_bdg_erw.kml" TargetMode="External"/><Relationship Id="rId626" Type="http://schemas.openxmlformats.org/officeDocument/2006/relationships/hyperlink" Target="https://map.geo.admin.ch/?zoom=13&amp;E=2611628&amp;N=1164648&amp;layers=ch.kantone.cadastralwebmap-farbe,ch.swisstopo.amtliches-strassenverzeichnis,ch.bfs.gebaeude_wohnungs_register,KML||https://tinyurl.com/yy7ya4g9/BE/0762_bdg_erw.kml" TargetMode="External"/><Relationship Id="rId973" Type="http://schemas.openxmlformats.org/officeDocument/2006/relationships/hyperlink" Target="https://map.geo.admin.ch/?zoom=13&amp;E=2610943&amp;N=1180245.375&amp;layers=ch.kantone.cadastralwebmap-farbe,ch.swisstopo.amtliches-strassenverzeichnis,ch.bfs.gebaeude_wohnungs_register,KML||https://tinyurl.com/yy7ya4g9/BE/0944_bdg_erw.kml" TargetMode="External"/><Relationship Id="rId1049" Type="http://schemas.openxmlformats.org/officeDocument/2006/relationships/hyperlink" Target="https://map.geo.admin.ch/?zoom=13&amp;E=2625959.511&amp;N=1218206.581&amp;layers=ch.kantone.cadastralwebmap-farbe,ch.swisstopo.amtliches-strassenverzeichnis,ch.bfs.gebaeude_wohnungs_register,KML||https://tinyurl.com/yy7ya4g9/BE/0959_bdg_erw.kml" TargetMode="External"/><Relationship Id="rId833" Type="http://schemas.openxmlformats.org/officeDocument/2006/relationships/hyperlink" Target="https://map.geo.admin.ch/?zoom=13&amp;E=2604869&amp;N=1179869&amp;layers=ch.kantone.cadastralwebmap-farbe,ch.swisstopo.amtliches-strassenverzeichnis,ch.bfs.gebaeude_wohnungs_register,KML||https://tinyurl.com/yy7ya4g9/BE/0886_bdg_erw.kml" TargetMode="External"/><Relationship Id="rId1116" Type="http://schemas.openxmlformats.org/officeDocument/2006/relationships/hyperlink" Target="https://map.geo.admin.ch/?zoom=13&amp;E=2618167.75&amp;N=1231077.875&amp;layers=ch.kantone.cadastralwebmap-farbe,ch.swisstopo.amtliches-strassenverzeichnis,ch.bfs.gebaeude_wohnungs_register,KML||https://tinyurl.com/yy7ya4g9/BE/0991_bdg_erw.kml" TargetMode="External"/><Relationship Id="rId265" Type="http://schemas.openxmlformats.org/officeDocument/2006/relationships/hyperlink" Target="https://map.geo.admin.ch/?zoom=13&amp;E=2610823.074&amp;N=1214667.677&amp;layers=ch.kantone.cadastralwebmap-farbe,ch.swisstopo.amtliches-strassenverzeichnis,ch.bfs.gebaeude_wohnungs_register,KML||https://tinyurl.com/yy7ya4g9/BE/0420_bdg_erw.kml" TargetMode="External"/><Relationship Id="rId472" Type="http://schemas.openxmlformats.org/officeDocument/2006/relationships/hyperlink" Target="https://map.geo.admin.ch/?zoom=13&amp;E=2632735.27&amp;N=1169570.65&amp;layers=ch.kantone.cadastralwebmap-farbe,ch.swisstopo.amtliches-strassenverzeichnis,ch.bfs.gebaeude_wohnungs_register,KML||https://tinyurl.com/yy7ya4g9/BE/0587_bdg_erw.kml" TargetMode="External"/><Relationship Id="rId900" Type="http://schemas.openxmlformats.org/officeDocument/2006/relationships/hyperlink" Target="https://map.geo.admin.ch/?zoom=13&amp;E=2615059&amp;N=1183050&amp;layers=ch.kantone.cadastralwebmap-farbe,ch.swisstopo.amtliches-strassenverzeichnis,ch.bfs.gebaeude_wohnungs_register,KML||https://tinyurl.com/yy7ya4g9/BE/0925_bdg_erw.kml" TargetMode="External"/><Relationship Id="rId125" Type="http://schemas.openxmlformats.org/officeDocument/2006/relationships/hyperlink" Target="https://map.geo.admin.ch/?zoom=13&amp;E=2607183&amp;N=1201001.25&amp;layers=ch.kantone.cadastralwebmap-farbe,ch.swisstopo.amtliches-strassenverzeichnis,ch.bfs.gebaeude_wohnungs_register,KML||https://tinyurl.com/yy7ya4g9/BE/0358_bdg_erw.kml" TargetMode="External"/><Relationship Id="rId332" Type="http://schemas.openxmlformats.org/officeDocument/2006/relationships/hyperlink" Target="https://map.geo.admin.ch/?zoom=13&amp;E=2616342.811&amp;N=1161422.344&amp;layers=ch.kantone.cadastralwebmap-farbe,ch.swisstopo.amtliches-strassenverzeichnis,ch.bfs.gebaeude_wohnungs_register,KML||https://tinyurl.com/yy7ya4g9/BE/0563_bdg_erw.kml" TargetMode="External"/><Relationship Id="rId777" Type="http://schemas.openxmlformats.org/officeDocument/2006/relationships/hyperlink" Target="https://map.geo.admin.ch/?zoom=13&amp;E=2603564&amp;N=1184409&amp;layers=ch.kantone.cadastralwebmap-farbe,ch.swisstopo.amtliches-strassenverzeichnis,ch.bfs.gebaeude_wohnungs_register,KML||https://tinyurl.com/yy7ya4g9/BE/0879_bdg_erw.kml" TargetMode="External"/><Relationship Id="rId984" Type="http://schemas.openxmlformats.org/officeDocument/2006/relationships/hyperlink" Target="https://map.geo.admin.ch/?zoom=13&amp;E=2622109&amp;N=1211965&amp;layers=ch.kantone.cadastralwebmap-farbe,ch.swisstopo.amtliches-strassenverzeichnis,ch.bfs.gebaeude_wohnungs_register,KML||https://tinyurl.com/yy7ya4g9/BE/0951_bdg_erw.kml" TargetMode="External"/><Relationship Id="rId637" Type="http://schemas.openxmlformats.org/officeDocument/2006/relationships/hyperlink" Target="https://map.geo.admin.ch/?zoom=13&amp;E=2612461.931&amp;N=1168221.794&amp;layers=ch.kantone.cadastralwebmap-farbe,ch.swisstopo.amtliches-strassenverzeichnis,ch.bfs.gebaeude_wohnungs_register,KML||https://tinyurl.com/yy7ya4g9/BE/0762_bdg_erw.kml" TargetMode="External"/><Relationship Id="rId844" Type="http://schemas.openxmlformats.org/officeDocument/2006/relationships/hyperlink" Target="https://map.geo.admin.ch/?zoom=13&amp;E=2605385&amp;N=1178854&amp;layers=ch.kantone.cadastralwebmap-farbe,ch.swisstopo.amtliches-strassenverzeichnis,ch.bfs.gebaeude_wohnungs_register,KML||https://tinyurl.com/yy7ya4g9/BE/0886_bdg_erw.kml" TargetMode="External"/><Relationship Id="rId276" Type="http://schemas.openxmlformats.org/officeDocument/2006/relationships/hyperlink" Target="https://map.geo.admin.ch/?zoom=13&amp;E=2610097&amp;N=1215412.5&amp;layers=ch.kantone.cadastralwebmap-farbe,ch.swisstopo.amtliches-strassenverzeichnis,ch.bfs.gebaeude_wohnungs_register,KML||https://tinyurl.com/yy7ya4g9/BE/0420_bdg_erw.kml" TargetMode="External"/><Relationship Id="rId483" Type="http://schemas.openxmlformats.org/officeDocument/2006/relationships/hyperlink" Target="https://map.geo.admin.ch/?zoom=13&amp;E=2630852&amp;N=1170520&amp;layers=ch.kantone.cadastralwebmap-farbe,ch.swisstopo.amtliches-strassenverzeichnis,ch.bfs.gebaeude_wohnungs_register,KML||https://tinyurl.com/yy7ya4g9/BE/0593_bdg_erw.kml" TargetMode="External"/><Relationship Id="rId690" Type="http://schemas.openxmlformats.org/officeDocument/2006/relationships/hyperlink" Target="https://map.geo.admin.ch/?zoom=13&amp;E=2598235.208&amp;N=1179028.708&amp;layers=ch.kantone.cadastralwebmap-farbe,ch.swisstopo.amtliches-strassenverzeichnis,ch.bfs.gebaeude_wohnungs_register,KML||https://tinyurl.com/yy7ya4g9/BE/0853_bdg_erw.kml" TargetMode="External"/><Relationship Id="rId704" Type="http://schemas.openxmlformats.org/officeDocument/2006/relationships/hyperlink" Target="https://map.geo.admin.ch/?zoom=13&amp;E=2607942.426&amp;N=1187638.136&amp;layers=ch.kantone.cadastralwebmap-farbe,ch.swisstopo.amtliches-strassenverzeichnis,ch.bfs.gebaeude_wohnungs_register,KML||https://tinyurl.com/yy7ya4g9/BE/0866_bdg_erw.kml" TargetMode="External"/><Relationship Id="rId911" Type="http://schemas.openxmlformats.org/officeDocument/2006/relationships/hyperlink" Target="https://map.geo.admin.ch/?zoom=13&amp;E=2621806.5&amp;N=1183749.875&amp;layers=ch.kantone.cadastralwebmap-farbe,ch.swisstopo.amtliches-strassenverzeichnis,ch.bfs.gebaeude_wohnungs_register,KML||https://tinyurl.com/yy7ya4g9/BE/0935_bdg_erw.kml" TargetMode="External"/><Relationship Id="rId1127" Type="http://schemas.openxmlformats.org/officeDocument/2006/relationships/hyperlink" Target="https://map.geo.admin.ch/?zoom=13&amp;E=2617802.75&amp;N=1231052.125&amp;layers=ch.kantone.cadastralwebmap-farbe,ch.swisstopo.amtliches-strassenverzeichnis,ch.bfs.gebaeude_wohnungs_register,KML||https://tinyurl.com/yy7ya4g9/BE/0991_bdg_erw.kml" TargetMode="External"/><Relationship Id="rId40" Type="http://schemas.openxmlformats.org/officeDocument/2006/relationships/hyperlink" Target="https://map.geo.admin.ch/?zoom=13&amp;E=2597872&amp;N=1212674&amp;layers=ch.kantone.cadastralwebmap-farbe,ch.swisstopo.amtliches-strassenverzeichnis,ch.bfs.gebaeude_wohnungs_register,KML||https://tinyurl.com/yy7ya4g9/BE/0310_bdg_erw.kml" TargetMode="External"/><Relationship Id="rId136" Type="http://schemas.openxmlformats.org/officeDocument/2006/relationships/hyperlink" Target="https://map.geo.admin.ch/?zoom=13&amp;E=2593900&amp;N=1202770&amp;layers=ch.kantone.cadastralwebmap-farbe,ch.swisstopo.amtliches-strassenverzeichnis,ch.bfs.gebaeude_wohnungs_register,KML||https://tinyurl.com/yy7ya4g9/BE/0360_bdg_erw.kml" TargetMode="External"/><Relationship Id="rId343" Type="http://schemas.openxmlformats.org/officeDocument/2006/relationships/hyperlink" Target="https://map.geo.admin.ch/?zoom=13&amp;E=2615667.852&amp;N=1158190.814&amp;layers=ch.kantone.cadastralwebmap-farbe,ch.swisstopo.amtliches-strassenverzeichnis,ch.bfs.gebaeude_wohnungs_register,KML||https://tinyurl.com/yy7ya4g9/BE/0563_bdg_erw.kml" TargetMode="External"/><Relationship Id="rId550" Type="http://schemas.openxmlformats.org/officeDocument/2006/relationships/hyperlink" Target="https://map.geo.admin.ch/?zoom=13&amp;E=2584891&amp;N=1196203.25&amp;layers=ch.kantone.cadastralwebmap-farbe,ch.swisstopo.amtliches-strassenverzeichnis,ch.bfs.gebaeude_wohnungs_register,KML||https://tinyurl.com/yy7ya4g9/BE/0667_bdg_erw.kml" TargetMode="External"/><Relationship Id="rId788" Type="http://schemas.openxmlformats.org/officeDocument/2006/relationships/hyperlink" Target="https://map.geo.admin.ch/?zoom=13&amp;E=2600385&amp;N=1185635&amp;layers=ch.kantone.cadastralwebmap-farbe,ch.swisstopo.amtliches-strassenverzeichnis,ch.bfs.gebaeude_wohnungs_register,KML||https://tinyurl.com/yy7ya4g9/BE/0880_bdg_erw.kml" TargetMode="External"/><Relationship Id="rId995" Type="http://schemas.openxmlformats.org/officeDocument/2006/relationships/hyperlink" Target="https://map.geo.admin.ch/?zoom=13&amp;E=2630686&amp;N=1218594&amp;layers=ch.kantone.cadastralwebmap-farbe,ch.swisstopo.amtliches-strassenverzeichnis,ch.bfs.gebaeude_wohnungs_register,KML||https://tinyurl.com/yy7ya4g9/BE/0954_bdg_erw.kml" TargetMode="External"/><Relationship Id="rId203" Type="http://schemas.openxmlformats.org/officeDocument/2006/relationships/hyperlink" Target="https://map.geo.admin.ch/?zoom=13&amp;E=2601709&amp;N=1225949&amp;layers=ch.kantone.cadastralwebmap-farbe,ch.swisstopo.amtliches-strassenverzeichnis,ch.bfs.gebaeude_wohnungs_register,KML||https://tinyurl.com/yy7ya4g9/BE/0388_bdg_erw.kml" TargetMode="External"/><Relationship Id="rId648" Type="http://schemas.openxmlformats.org/officeDocument/2006/relationships/hyperlink" Target="https://map.geo.admin.ch/?zoom=13&amp;E=2615684&amp;N=1173727&amp;layers=ch.kantone.cadastralwebmap-farbe,ch.swisstopo.amtliches-strassenverzeichnis,ch.bfs.gebaeude_wohnungs_register,KML||https://tinyurl.com/yy7ya4g9/BE/0768_bdg_erw.kml" TargetMode="External"/><Relationship Id="rId855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1040" Type="http://schemas.openxmlformats.org/officeDocument/2006/relationships/hyperlink" Target="https://map.geo.admin.ch/?zoom=13&amp;E=2625349.502&amp;N=1215528.604&amp;layers=ch.kantone.cadastralwebmap-farbe,ch.swisstopo.amtliches-strassenverzeichnis,ch.bfs.gebaeude_wohnungs_register,KML||https://tinyurl.com/yy7ya4g9/BE/0959_bdg_erw.kml" TargetMode="External"/><Relationship Id="rId287" Type="http://schemas.openxmlformats.org/officeDocument/2006/relationships/hyperlink" Target="https://map.geo.admin.ch/?zoom=13&amp;E=2565967.07&amp;N=1222209.891&amp;layers=ch.kantone.cadastralwebmap-farbe,ch.swisstopo.amtliches-strassenverzeichnis,ch.bfs.gebaeude_wohnungs_register,KML||https://tinyurl.com/yy7ya4g9/BE/0443_bdg_erw.kml" TargetMode="External"/><Relationship Id="rId410" Type="http://schemas.openxmlformats.org/officeDocument/2006/relationships/hyperlink" Target="https://map.geo.admin.ch/?zoom=13&amp;E=2618797&amp;N=1160290&amp;layers=ch.kantone.cadastralwebmap-farbe,ch.swisstopo.amtliches-strassenverzeichnis,ch.bfs.gebaeude_wohnungs_register,KML||https://tinyurl.com/yy7ya4g9/BE/0567_bdg_erw.kml" TargetMode="External"/><Relationship Id="rId494" Type="http://schemas.openxmlformats.org/officeDocument/2006/relationships/hyperlink" Target="https://map.geo.admin.ch/?zoom=13&amp;E=2613568.5&amp;N=1185147.25&amp;layers=ch.kantone.cadastralwebmap-farbe,ch.swisstopo.amtliches-strassenverzeichnis,ch.bfs.gebaeude_wohnungs_register,KML||https://tinyurl.com/yy7ya4g9/BE/0606_bdg_erw.kml" TargetMode="External"/><Relationship Id="rId508" Type="http://schemas.openxmlformats.org/officeDocument/2006/relationships/hyperlink" Target="https://map.geo.admin.ch/?zoom=13&amp;E=2610012.834&amp;N=1191971.553&amp;layers=ch.kantone.cadastralwebmap-farbe,ch.swisstopo.amtliches-strassenverzeichnis,ch.bfs.gebaeude_wohnungs_register,KML||https://tinyurl.com/yy7ya4g9/BE/0616_bdg_erw.kml" TargetMode="External"/><Relationship Id="rId715" Type="http://schemas.openxmlformats.org/officeDocument/2006/relationships/hyperlink" Target="https://map.geo.admin.ch/?zoom=13&amp;E=2604849.691&amp;N=1187202.106&amp;layers=ch.kantone.cadastralwebmap-farbe,ch.swisstopo.amtliches-strassenverzeichnis,ch.bfs.gebaeude_wohnungs_register,KML||https://tinyurl.com/yy7ya4g9/BE/0869_bdg_erw.kml" TargetMode="External"/><Relationship Id="rId922" Type="http://schemas.openxmlformats.org/officeDocument/2006/relationships/hyperlink" Target="https://map.geo.admin.ch/?zoom=13&amp;E=2620747&amp;N=1174680&amp;layers=ch.kantone.cadastralwebmap-farbe,ch.swisstopo.amtliches-strassenverzeichnis,ch.bfs.gebaeude_wohnungs_register,KML||https://tinyurl.com/yy7ya4g9/BE/0938_bdg_erw.kml" TargetMode="External"/><Relationship Id="rId147" Type="http://schemas.openxmlformats.org/officeDocument/2006/relationships/hyperlink" Target="https://map.geo.admin.ch/?zoom=13&amp;E=2601418.783&amp;N=1203226.143&amp;layers=ch.kantone.cadastralwebmap-farbe,ch.swisstopo.amtliches-strassenverzeichnis,ch.bfs.gebaeude_wohnungs_register,KML||https://tinyurl.com/yy7ya4g9/BE/0362_bdg_erw.kml" TargetMode="External"/><Relationship Id="rId354" Type="http://schemas.openxmlformats.org/officeDocument/2006/relationships/hyperlink" Target="https://map.geo.admin.ch/?zoom=13&amp;E=2615745&amp;N=1159190&amp;layers=ch.kantone.cadastralwebmap-farbe,ch.swisstopo.amtliches-strassenverzeichnis,ch.bfs.gebaeude_wohnungs_register,KML||https://tinyurl.com/yy7ya4g9/BE/0563_bdg_erw.kml" TargetMode="External"/><Relationship Id="rId799" Type="http://schemas.openxmlformats.org/officeDocument/2006/relationships/hyperlink" Target="https://map.geo.admin.ch/?zoom=13&amp;E=2609859.191&amp;N=1183784.947&amp;layers=ch.kantone.cadastralwebmap-farbe,ch.swisstopo.amtliches-strassenverzeichnis,ch.bfs.gebaeude_wohnungs_register,KML||https://tinyurl.com/yy7ya4g9/BE/0885_bdg_erw.kml" TargetMode="External"/><Relationship Id="rId51" Type="http://schemas.openxmlformats.org/officeDocument/2006/relationships/hyperlink" Target="https://map.geo.admin.ch/?zoom=13&amp;E=2632408&amp;N=1222330.5&amp;layers=ch.kantone.cadastralwebmap-farbe,ch.swisstopo.amtliches-strassenverzeichnis,ch.bfs.gebaeude_wohnungs_register,KML||https://tinyurl.com/yy7ya4g9/BE/0326_bdg_erw.kml" TargetMode="External"/><Relationship Id="rId561" Type="http://schemas.openxmlformats.org/officeDocument/2006/relationships/hyperlink" Target="https://map.geo.admin.ch/?zoom=13&amp;E=2581989.383&amp;N=1229785.621&amp;layers=ch.kantone.cadastralwebmap-farbe,ch.swisstopo.amtliches-strassenverzeichnis,ch.bfs.gebaeude_wohnungs_register,KML||https://tinyurl.com/yy7ya4g9/BE/0713_bdg_erw.kml" TargetMode="External"/><Relationship Id="rId659" Type="http://schemas.openxmlformats.org/officeDocument/2006/relationships/hyperlink" Target="https://map.geo.admin.ch/?zoom=13&amp;E=2600481.34&amp;N=1144597.44&amp;layers=ch.kantone.cadastralwebmap-farbe,ch.swisstopo.amtliches-strassenverzeichnis,ch.bfs.gebaeude_wohnungs_register,KML||https://tinyurl.com/yy7ya4g9/BE/0792_bdg_erw.kml" TargetMode="External"/><Relationship Id="rId866" Type="http://schemas.openxmlformats.org/officeDocument/2006/relationships/hyperlink" Target="https://map.geo.admin.ch/?zoom=13&amp;E=2605626.749&amp;N=1186336.994&amp;layers=ch.kantone.cadastralwebmap-farbe,ch.swisstopo.amtliches-strassenverzeichnis,ch.bfs.gebaeude_wohnungs_register,KML||https://tinyurl.com/yy7ya4g9/BE/0889_bdg_erw.kml" TargetMode="External"/><Relationship Id="rId214" Type="http://schemas.openxmlformats.org/officeDocument/2006/relationships/hyperlink" Target="https://map.geo.admin.ch/?zoom=13&amp;E=2592432.397&amp;N=1224706.401&amp;layers=ch.kantone.cadastralwebmap-farbe,ch.swisstopo.amtliches-strassenverzeichnis,ch.bfs.gebaeude_wohnungs_register,KML||https://tinyurl.com/yy7ya4g9/BE/0392_bdg_erw.kml" TargetMode="External"/><Relationship Id="rId298" Type="http://schemas.openxmlformats.org/officeDocument/2006/relationships/hyperlink" Target="https://map.geo.admin.ch/?zoom=13&amp;E=2574811.667&amp;N=1206076.561&amp;layers=ch.kantone.cadastralwebmap-farbe,ch.swisstopo.amtliches-strassenverzeichnis,ch.bfs.gebaeude_wohnungs_register,KML||https://tinyurl.com/yy7ya4g9/BE/0496_bdg_erw.kml" TargetMode="External"/><Relationship Id="rId421" Type="http://schemas.openxmlformats.org/officeDocument/2006/relationships/hyperlink" Target="https://map.geo.admin.ch/?zoom=13&amp;E=2623685&amp;N=1153239&amp;layers=ch.kantone.cadastralwebmap-farbe,ch.swisstopo.amtliches-strassenverzeichnis,ch.bfs.gebaeude_wohnungs_register,KML||https://tinyurl.com/yy7ya4g9/BE/0567_bdg_erw.kml" TargetMode="External"/><Relationship Id="rId519" Type="http://schemas.openxmlformats.org/officeDocument/2006/relationships/hyperlink" Target="https://map.geo.admin.ch/?zoom=13&amp;E=2612061&amp;N=1185444&amp;layers=ch.kantone.cadastralwebmap-farbe,ch.swisstopo.amtliches-strassenverzeichnis,ch.bfs.gebaeude_wohnungs_register,KML||https://tinyurl.com/yy7ya4g9/BE/0622_bdg_erw.kml" TargetMode="External"/><Relationship Id="rId1051" Type="http://schemas.openxmlformats.org/officeDocument/2006/relationships/hyperlink" Target="https://map.geo.admin.ch/?zoom=13&amp;E=2625346.561&amp;N=1216553.802&amp;layers=ch.kantone.cadastralwebmap-farbe,ch.swisstopo.amtliches-strassenverzeichnis,ch.bfs.gebaeude_wohnungs_register,KML||https://tinyurl.com/yy7ya4g9/BE/0959_bdg_erw.kml" TargetMode="External"/><Relationship Id="rId158" Type="http://schemas.openxmlformats.org/officeDocument/2006/relationships/hyperlink" Target="https://map.geo.admin.ch/?zoom=13&amp;E=2585569.155&amp;N=1220584.046&amp;layers=ch.kantone.cadastralwebmap-farbe,ch.swisstopo.amtliches-strassenverzeichnis,ch.bfs.gebaeude_wohnungs_register,KML||https://tinyurl.com/yy7ya4g9/BE/0371_bdg_erw.kml" TargetMode="External"/><Relationship Id="rId726" Type="http://schemas.openxmlformats.org/officeDocument/2006/relationships/hyperlink" Target="https://map.geo.admin.ch/?zoom=13&amp;E=2605917&amp;N=1188060&amp;layers=ch.kantone.cadastralwebmap-farbe,ch.swisstopo.amtliches-strassenverzeichnis,ch.bfs.gebaeude_wohnungs_register,KML||https://tinyurl.com/yy7ya4g9/BE/0872_bdg_erw.kml" TargetMode="External"/><Relationship Id="rId933" Type="http://schemas.openxmlformats.org/officeDocument/2006/relationships/hyperlink" Target="https://map.geo.admin.ch/?zoom=13&amp;E=2615357&amp;N=1180820&amp;layers=ch.kantone.cadastralwebmap-farbe,ch.swisstopo.amtliches-strassenverzeichnis,ch.bfs.gebaeude_wohnungs_register,KML||https://tinyurl.com/yy7ya4g9/BE/0939_bdg_erw.kml" TargetMode="External"/><Relationship Id="rId1009" Type="http://schemas.openxmlformats.org/officeDocument/2006/relationships/hyperlink" Target="https://map.geo.admin.ch/?zoom=13&amp;E=2619127.25&amp;N=1206410.375&amp;layers=ch.kantone.cadastralwebmap-farbe,ch.swisstopo.amtliches-strassenverzeichnis,ch.bfs.gebaeude_wohnungs_register,KML||https://tinyurl.com/yy7ya4g9/BE/0955_bdg_erw.kml" TargetMode="External"/><Relationship Id="rId62" Type="http://schemas.openxmlformats.org/officeDocument/2006/relationships/hyperlink" Target="https://map.geo.admin.ch/?zoom=13&amp;E=2626407.373&amp;N=1226652.657&amp;layers=ch.kantone.cadastralwebmap-farbe,ch.swisstopo.amtliches-strassenverzeichnis,ch.bfs.gebaeude_wohnungs_register,KML||https://tinyurl.com/yy7ya4g9/BE/0331_bdg_erw.kml" TargetMode="External"/><Relationship Id="rId365" Type="http://schemas.openxmlformats.org/officeDocument/2006/relationships/hyperlink" Target="https://map.geo.admin.ch/?zoom=13&amp;E=2611553.5&amp;N=1151910.25&amp;layers=ch.kantone.cadastralwebmap-farbe,ch.swisstopo.amtliches-strassenverzeichnis,ch.bfs.gebaeude_wohnungs_register,KML||https://tinyurl.com/yy7ya4g9/BE/0563_bdg_erw.kml" TargetMode="External"/><Relationship Id="rId572" Type="http://schemas.openxmlformats.org/officeDocument/2006/relationships/hyperlink" Target="https://map.geo.admin.ch/?zoom=13&amp;E=2580609.594&amp;N=1219521.75&amp;layers=ch.kantone.cadastralwebmap-farbe,ch.swisstopo.amtliches-strassenverzeichnis,ch.bfs.gebaeude_wohnungs_register,KML||https://tinyurl.com/yy7ya4g9/BE/0726_bdg_erw.kml" TargetMode="External"/><Relationship Id="rId225" Type="http://schemas.openxmlformats.org/officeDocument/2006/relationships/hyperlink" Target="https://map.geo.admin.ch/?zoom=13&amp;E=2613775&amp;N=1211179&amp;layers=ch.kantone.cadastralwebmap-farbe,ch.swisstopo.amtliches-strassenverzeichnis,ch.bfs.gebaeude_wohnungs_register,KML||https://tinyurl.com/yy7ya4g9/BE/0404_bdg_erw.kml" TargetMode="External"/><Relationship Id="rId432" Type="http://schemas.openxmlformats.org/officeDocument/2006/relationships/hyperlink" Target="https://map.geo.admin.ch/?zoom=13&amp;E=2618082&amp;N=1161825&amp;layers=ch.kantone.cadastralwebmap-farbe,ch.swisstopo.amtliches-strassenverzeichnis,ch.bfs.gebaeude_wohnungs_register,KML||https://tinyurl.com/yy7ya4g9/BE/0567_bdg_erw.kml" TargetMode="External"/><Relationship Id="rId877" Type="http://schemas.openxmlformats.org/officeDocument/2006/relationships/hyperlink" Target="https://map.geo.admin.ch/?zoom=13&amp;E=2622462.021&amp;N=1202087.601&amp;layers=ch.kantone.cadastralwebmap-farbe,ch.swisstopo.amtliches-strassenverzeichnis,ch.bfs.gebaeude_wohnungs_register,KML||https://tinyurl.com/yy7ya4g9/BE/0903_bdg_erw.kml" TargetMode="External"/><Relationship Id="rId1062" Type="http://schemas.openxmlformats.org/officeDocument/2006/relationships/hyperlink" Target="https://map.geo.admin.ch/?zoom=13&amp;E=2623445.142&amp;N=1215780.809&amp;layers=ch.kantone.cadastralwebmap-farbe,ch.swisstopo.amtliches-strassenverzeichnis,ch.bfs.gebaeude_wohnungs_register,KML||https://tinyurl.com/yy7ya4g9/BE/0959_bdg_erw.kml" TargetMode="External"/><Relationship Id="rId737" Type="http://schemas.openxmlformats.org/officeDocument/2006/relationships/hyperlink" Target="https://map.geo.admin.ch/?zoom=13&amp;E=2602051&amp;N=1189868.875&amp;layers=ch.kantone.cadastralwebmap-farbe,ch.swisstopo.amtliches-strassenverzeichnis,ch.bfs.gebaeude_wohnungs_register,KML||https://tinyurl.com/yy7ya4g9/BE/0877_bdg_erw.kml" TargetMode="External"/><Relationship Id="rId944" Type="http://schemas.openxmlformats.org/officeDocument/2006/relationships/hyperlink" Target="https://map.geo.admin.ch/?zoom=13&amp;E=2614365.339&amp;N=1181684.306&amp;layers=ch.kantone.cadastralwebmap-farbe,ch.swisstopo.amtliches-strassenverzeichnis,ch.bfs.gebaeude_wohnungs_register,KML||https://tinyurl.com/yy7ya4g9/BE/0939_bdg_erw.kml" TargetMode="External"/><Relationship Id="rId73" Type="http://schemas.openxmlformats.org/officeDocument/2006/relationships/hyperlink" Target="https://map.geo.admin.ch/?zoom=13&amp;E=2630752&amp;N=1225516.125&amp;layers=ch.kantone.cadastralwebmap-farbe,ch.swisstopo.amtliches-strassenverzeichnis,ch.bfs.gebaeude_wohnungs_register,KML||https://tinyurl.com/yy7ya4g9/BE/0333_bdg_erw.kml" TargetMode="External"/><Relationship Id="rId169" Type="http://schemas.openxmlformats.org/officeDocument/2006/relationships/hyperlink" Target="https://map.geo.admin.ch/?zoom=13&amp;E=2588330.261&amp;N=1223137.847&amp;layers=ch.kantone.cadastralwebmap-farbe,ch.swisstopo.amtliches-strassenverzeichnis,ch.bfs.gebaeude_wohnungs_register,KML||https://tinyurl.com/yy7ya4g9/BE/0371_bdg_erw.kml" TargetMode="External"/><Relationship Id="rId376" Type="http://schemas.openxmlformats.org/officeDocument/2006/relationships/hyperlink" Target="https://map.geo.admin.ch/?zoom=13&amp;E=2613713.5&amp;N=1155591.75&amp;layers=ch.kantone.cadastralwebmap-farbe,ch.swisstopo.amtliches-strassenverzeichnis,ch.bfs.gebaeude_wohnungs_register,KML||https://tinyurl.com/yy7ya4g9/BE/0563_bdg_erw.kml" TargetMode="External"/><Relationship Id="rId583" Type="http://schemas.openxmlformats.org/officeDocument/2006/relationships/hyperlink" Target="https://map.geo.admin.ch/?zoom=13&amp;E=2587664.809&amp;N=1219344.023&amp;layers=ch.kantone.cadastralwebmap-farbe,ch.swisstopo.amtliches-strassenverzeichnis,ch.bfs.gebaeude_wohnungs_register,KML||https://tinyurl.com/yy7ya4g9/BE/0733_bdg_erw.kml" TargetMode="External"/><Relationship Id="rId790" Type="http://schemas.openxmlformats.org/officeDocument/2006/relationships/hyperlink" Target="https://map.geo.admin.ch/?zoom=13&amp;E=2600165&amp;N=1188270&amp;layers=ch.kantone.cadastralwebmap-farbe,ch.swisstopo.amtliches-strassenverzeichnis,ch.bfs.gebaeude_wohnungs_register,KML||https://tinyurl.com/yy7ya4g9/BE/0880_bdg_erw.kml" TargetMode="External"/><Relationship Id="rId804" Type="http://schemas.openxmlformats.org/officeDocument/2006/relationships/hyperlink" Target="https://map.geo.admin.ch/?zoom=13&amp;E=2605200&amp;N=1180539&amp;layers=ch.kantone.cadastralwebmap-farbe,ch.swisstopo.amtliches-strassenverzeichnis,ch.bfs.gebaeude_wohnungs_register,KML||https://tinyurl.com/yy7ya4g9/BE/0886_bdg_erw.kml" TargetMode="External"/><Relationship Id="rId4" Type="http://schemas.openxmlformats.org/officeDocument/2006/relationships/hyperlink" Target="https://map.geo.admin.ch/?zoom=13&amp;E=2588252&amp;N=1211116&amp;layers=ch.kantone.cadastralwebmap-farbe,ch.swisstopo.amtliches-strassenverzeichnis,ch.bfs.gebaeude_wohnungs_register,KML||https://tinyurl.com/yy7ya4g9/BE/0301_bdg_erw.kml" TargetMode="External"/><Relationship Id="rId236" Type="http://schemas.openxmlformats.org/officeDocument/2006/relationships/hyperlink" Target="https://map.geo.admin.ch/?zoom=13&amp;E=2612570.55&amp;N=1212754.278&amp;layers=ch.kantone.cadastralwebmap-farbe,ch.swisstopo.amtliches-strassenverzeichnis,ch.bfs.gebaeude_wohnungs_register,KML||https://tinyurl.com/yy7ya4g9/BE/0404_bdg_erw.kml" TargetMode="External"/><Relationship Id="rId443" Type="http://schemas.openxmlformats.org/officeDocument/2006/relationships/hyperlink" Target="https://map.geo.admin.ch/?zoom=13&amp;E=2628527.697&amp;N=1171983.522&amp;layers=ch.kantone.cadastralwebmap-farbe,ch.swisstopo.amtliches-strassenverzeichnis,ch.bfs.gebaeude_wohnungs_register,KML||https://tinyurl.com/yy7ya4g9/BE/0571_bdg_erw.kml" TargetMode="External"/><Relationship Id="rId650" Type="http://schemas.openxmlformats.org/officeDocument/2006/relationships/hyperlink" Target="https://map.geo.admin.ch/?zoom=13&amp;E=2619708&amp;N=1168919.875&amp;layers=ch.kantone.cadastralwebmap-farbe,ch.swisstopo.amtliches-strassenverzeichnis,ch.bfs.gebaeude_wohnungs_register,KML||https://tinyurl.com/yy7ya4g9/BE/0768_bdg_erw.kml" TargetMode="External"/><Relationship Id="rId888" Type="http://schemas.openxmlformats.org/officeDocument/2006/relationships/hyperlink" Target="https://map.geo.admin.ch/?zoom=13&amp;E=2630683.881&amp;N=1196351.163&amp;layers=ch.kantone.cadastralwebmap-farbe,ch.swisstopo.amtliches-strassenverzeichnis,ch.bfs.gebaeude_wohnungs_register,KML||https://tinyurl.com/yy7ya4g9/BE/0909_bdg_erw.kml" TargetMode="External"/><Relationship Id="rId1073" Type="http://schemas.openxmlformats.org/officeDocument/2006/relationships/hyperlink" Target="https://map.geo.admin.ch/?zoom=13&amp;E=2619997&amp;N=1226179&amp;layers=ch.kantone.cadastralwebmap-farbe,ch.swisstopo.amtliches-strassenverzeichnis,ch.bfs.gebaeude_wohnungs_register,KML||https://tinyurl.com/yy7ya4g9/BE/0979_bdg_erw.kml" TargetMode="External"/><Relationship Id="rId303" Type="http://schemas.openxmlformats.org/officeDocument/2006/relationships/hyperlink" Target="https://map.geo.admin.ch/?zoom=13&amp;E=2574630&amp;N=1205509&amp;layers=ch.kantone.cadastralwebmap-farbe,ch.swisstopo.amtliches-strassenverzeichnis,ch.bfs.gebaeude_wohnungs_register,KML||https://tinyurl.com/yy7ya4g9/BE/0496_bdg_erw.kml" TargetMode="External"/><Relationship Id="rId748" Type="http://schemas.openxmlformats.org/officeDocument/2006/relationships/hyperlink" Target="https://map.geo.admin.ch/?zoom=13&amp;E=2601481.5&amp;N=1189774.375&amp;layers=ch.kantone.cadastralwebmap-farbe,ch.swisstopo.amtliches-strassenverzeichnis,ch.bfs.gebaeude_wohnungs_register,KML||https://tinyurl.com/yy7ya4g9/BE/0877_bdg_erw.kml" TargetMode="External"/><Relationship Id="rId955" Type="http://schemas.openxmlformats.org/officeDocument/2006/relationships/hyperlink" Target="https://map.geo.admin.ch/?zoom=13&amp;E=2613531.875&amp;N=1177019.313&amp;layers=ch.kantone.cadastralwebmap-farbe,ch.swisstopo.amtliches-strassenverzeichnis,ch.bfs.gebaeude_wohnungs_register,KML||https://tinyurl.com/yy7ya4g9/BE/0942_bdg_erw.kml" TargetMode="External"/><Relationship Id="rId84" Type="http://schemas.openxmlformats.org/officeDocument/2006/relationships/hyperlink" Target="https://map.geo.admin.ch/?zoom=13&amp;E=2627395&amp;N=1231813&amp;layers=ch.kantone.cadastralwebmap-farbe,ch.swisstopo.amtliches-strassenverzeichnis,ch.bfs.gebaeude_wohnungs_register,KML||https://tinyurl.com/yy7ya4g9/BE/0337_bdg_erw.kml" TargetMode="External"/><Relationship Id="rId387" Type="http://schemas.openxmlformats.org/officeDocument/2006/relationships/hyperlink" Target="https://map.geo.admin.ch/?zoom=13&amp;E=2617309&amp;N=1153563.5&amp;layers=ch.kantone.cadastralwebmap-farbe,ch.swisstopo.amtliches-strassenverzeichnis,ch.bfs.gebaeude_wohnungs_register,KML||https://tinyurl.com/yy7ya4g9/BE/0564_bdg_erw.kml" TargetMode="External"/><Relationship Id="rId510" Type="http://schemas.openxmlformats.org/officeDocument/2006/relationships/hyperlink" Target="https://map.geo.admin.ch/?zoom=13&amp;E=2615506.839&amp;N=1191514.442&amp;layers=ch.kantone.cadastralwebmap-farbe,ch.swisstopo.amtliches-strassenverzeichnis,ch.bfs.gebaeude_wohnungs_register,KML||https://tinyurl.com/yy7ya4g9/BE/0617_bdg_erw.kml" TargetMode="External"/><Relationship Id="rId594" Type="http://schemas.openxmlformats.org/officeDocument/2006/relationships/hyperlink" Target="https://map.geo.admin.ch/?zoom=13&amp;E=2591392.687&amp;N=1221763.375&amp;layers=ch.kantone.cadastralwebmap-farbe,ch.swisstopo.amtliches-strassenverzeichnis,ch.bfs.gebaeude_wohnungs_register,KML||https://tinyurl.com/yy7ya4g9/BE/0746_bdg_erw.kml" TargetMode="External"/><Relationship Id="rId608" Type="http://schemas.openxmlformats.org/officeDocument/2006/relationships/hyperlink" Target="https://map.geo.admin.ch/?zoom=13&amp;E=2582121.75&amp;N=1213333.375&amp;layers=ch.kantone.cadastralwebmap-farbe,ch.swisstopo.amtliches-strassenverzeichnis,ch.bfs.gebaeude_wohnungs_register,KML||https://tinyurl.com/yy7ya4g9/BE/0751_bdg_erw.kml" TargetMode="External"/><Relationship Id="rId815" Type="http://schemas.openxmlformats.org/officeDocument/2006/relationships/hyperlink" Target="https://map.geo.admin.ch/?zoom=13&amp;E=2605529&amp;N=1178651&amp;layers=ch.kantone.cadastralwebmap-farbe,ch.swisstopo.amtliches-strassenverzeichnis,ch.bfs.gebaeude_wohnungs_register,KML||https://tinyurl.com/yy7ya4g9/BE/0886_bdg_erw.kml" TargetMode="External"/><Relationship Id="rId247" Type="http://schemas.openxmlformats.org/officeDocument/2006/relationships/hyperlink" Target="https://map.geo.admin.ch/?zoom=13&amp;E=2614047.028&amp;N=1212412.332&amp;layers=ch.kantone.cadastralwebmap-farbe,ch.swisstopo.amtliches-strassenverzeichnis,ch.bfs.gebaeude_wohnungs_register,KML||https://tinyurl.com/yy7ya4g9/BE/0404_bdg_erw.kml" TargetMode="External"/><Relationship Id="rId899" Type="http://schemas.openxmlformats.org/officeDocument/2006/relationships/hyperlink" Target="https://map.geo.admin.ch/?zoom=13&amp;E=2626675.41&amp;N=1181796.383&amp;layers=ch.kantone.cadastralwebmap-farbe,ch.swisstopo.amtliches-strassenverzeichnis,ch.bfs.gebaeude_wohnungs_register,KML||https://tinyurl.com/yy7ya4g9/BE/0924_bdg_erw.kml" TargetMode="External"/><Relationship Id="rId1000" Type="http://schemas.openxmlformats.org/officeDocument/2006/relationships/hyperlink" Target="https://map.geo.admin.ch/?zoom=13&amp;E=2618794&amp;N=1205845&amp;layers=ch.kantone.cadastralwebmap-farbe,ch.swisstopo.amtliches-strassenverzeichnis,ch.bfs.gebaeude_wohnungs_register,KML||https://tinyurl.com/yy7ya4g9/BE/0955_bdg_erw.kml" TargetMode="External"/><Relationship Id="rId1084" Type="http://schemas.openxmlformats.org/officeDocument/2006/relationships/hyperlink" Target="https://map.geo.admin.ch/?zoom=13&amp;E=2621949.25&amp;N=1222762.625&amp;layers=ch.kantone.cadastralwebmap-farbe,ch.swisstopo.amtliches-strassenverzeichnis,ch.bfs.gebaeude_wohnungs_register,KML||https://tinyurl.com/yy7ya4g9/BE/0985_bdg_erw.kml" TargetMode="External"/><Relationship Id="rId107" Type="http://schemas.openxmlformats.org/officeDocument/2006/relationships/hyperlink" Target="https://map.geo.admin.ch/?zoom=13&amp;E=2601915.541&amp;N=1198901.808&amp;layers=ch.kantone.cadastralwebmap-farbe,ch.swisstopo.amtliches-strassenverzeichnis,ch.bfs.gebaeude_wohnungs_register,KML||https://tinyurl.com/yy7ya4g9/BE/0351_bdg_erw.kml" TargetMode="External"/><Relationship Id="rId454" Type="http://schemas.openxmlformats.org/officeDocument/2006/relationships/hyperlink" Target="https://map.geo.admin.ch/?zoom=13&amp;E=2647984&amp;N=1168090&amp;layers=ch.kantone.cadastralwebmap-farbe,ch.swisstopo.amtliches-strassenverzeichnis,ch.bfs.gebaeude_wohnungs_register,KML||https://tinyurl.com/yy7ya4g9/BE/0576_bdg_erw.kml" TargetMode="External"/><Relationship Id="rId661" Type="http://schemas.openxmlformats.org/officeDocument/2006/relationships/hyperlink" Target="https://map.geo.admin.ch/?zoom=13&amp;E=2599955.568&amp;N=1146680.325&amp;layers=ch.kantone.cadastralwebmap-farbe,ch.swisstopo.amtliches-strassenverzeichnis,ch.bfs.gebaeude_wohnungs_register,KML||https://tinyurl.com/yy7ya4g9/BE/0792_bdg_erw.kml" TargetMode="External"/><Relationship Id="rId759" Type="http://schemas.openxmlformats.org/officeDocument/2006/relationships/hyperlink" Target="https://map.geo.admin.ch/?zoom=13&amp;E=2602162&amp;N=1189811.375&amp;layers=ch.kantone.cadastralwebmap-farbe,ch.swisstopo.amtliches-strassenverzeichnis,ch.bfs.gebaeude_wohnungs_register,KML||https://tinyurl.com/yy7ya4g9/BE/0877_bdg_erw.kml" TargetMode="External"/><Relationship Id="rId966" Type="http://schemas.openxmlformats.org/officeDocument/2006/relationships/hyperlink" Target="https://map.geo.admin.ch/?zoom=13&amp;E=2613906.311&amp;N=1177475.657&amp;layers=ch.kantone.cadastralwebmap-farbe,ch.swisstopo.amtliches-strassenverzeichnis,ch.bfs.gebaeude_wohnungs_register,KML||https://tinyurl.com/yy7ya4g9/BE/0942_bdg_erw.kml" TargetMode="External"/><Relationship Id="rId11" Type="http://schemas.openxmlformats.org/officeDocument/2006/relationships/hyperlink" Target="https://map.geo.admin.ch/?zoom=13&amp;E=2586749&amp;N=1210117&amp;layers=ch.kantone.cadastralwebmap-farbe,ch.swisstopo.amtliches-strassenverzeichnis,ch.bfs.gebaeude_wohnungs_register,KML||https://tinyurl.com/yy7ya4g9/BE/0302_bdg_erw.kml" TargetMode="External"/><Relationship Id="rId314" Type="http://schemas.openxmlformats.org/officeDocument/2006/relationships/hyperlink" Target="https://map.geo.admin.ch/?zoom=13&amp;E=2606124.883&amp;N=1216006.035&amp;layers=ch.kantone.cadastralwebmap-farbe,ch.swisstopo.amtliches-strassenverzeichnis,ch.bfs.gebaeude_wohnungs_register,KML||https://tinyurl.com/yy7ya4g9/BE/0538_bdg_erw.kml" TargetMode="External"/><Relationship Id="rId398" Type="http://schemas.openxmlformats.org/officeDocument/2006/relationships/hyperlink" Target="https://map.geo.admin.ch/?zoom=13&amp;E=2620665&amp;N=1158796&amp;layers=ch.kantone.cadastralwebmap-farbe,ch.swisstopo.amtliches-strassenverzeichnis,ch.bfs.gebaeude_wohnungs_register,KML||https://tinyurl.com/yy7ya4g9/BE/0567_bdg_erw.kml" TargetMode="External"/><Relationship Id="rId521" Type="http://schemas.openxmlformats.org/officeDocument/2006/relationships/hyperlink" Target="https://map.geo.admin.ch/?zoom=13&amp;E=2608857&amp;N=1195365&amp;layers=ch.kantone.cadastralwebmap-farbe,ch.swisstopo.amtliches-strassenverzeichnis,ch.bfs.gebaeude_wohnungs_register,KML||https://tinyurl.com/yy7ya4g9/BE/0623_bdg_erw.kml" TargetMode="External"/><Relationship Id="rId619" Type="http://schemas.openxmlformats.org/officeDocument/2006/relationships/hyperlink" Target="https://map.geo.admin.ch/?zoom=13&amp;E=2601465.25&amp;N=1172370.875&amp;layers=ch.kantone.cadastralwebmap-farbe,ch.swisstopo.amtliches-strassenverzeichnis,ch.bfs.gebaeude_wohnungs_register,KML||https://tinyurl.com/yy7ya4g9/BE/0761_bdg_erw.kml" TargetMode="External"/><Relationship Id="rId95" Type="http://schemas.openxmlformats.org/officeDocument/2006/relationships/hyperlink" Target="https://map.geo.admin.ch/?zoom=13&amp;E=2625579&amp;N=1219988&amp;layers=ch.kantone.cadastralwebmap-farbe,ch.swisstopo.amtliches-strassenverzeichnis,ch.bfs.gebaeude_wohnungs_register,KML||https://tinyurl.com/yy7ya4g9/BE/0344_bdg_erw.kml" TargetMode="External"/><Relationship Id="rId160" Type="http://schemas.openxmlformats.org/officeDocument/2006/relationships/hyperlink" Target="https://map.geo.admin.ch/?zoom=13&amp;E=2586559.295&amp;N=1220223.353&amp;layers=ch.kantone.cadastralwebmap-farbe,ch.swisstopo.amtliches-strassenverzeichnis,ch.bfs.gebaeude_wohnungs_register,KML||https://tinyurl.com/yy7ya4g9/BE/0371_bdg_erw.kml" TargetMode="External"/><Relationship Id="rId826" Type="http://schemas.openxmlformats.org/officeDocument/2006/relationships/hyperlink" Target="https://map.geo.admin.ch/?zoom=13&amp;E=2605435&amp;N=1179193&amp;layers=ch.kantone.cadastralwebmap-farbe,ch.swisstopo.amtliches-strassenverzeichnis,ch.bfs.gebaeude_wohnungs_register,KML||https://tinyurl.com/yy7ya4g9/BE/0886_bdg_erw.kml" TargetMode="External"/><Relationship Id="rId1011" Type="http://schemas.openxmlformats.org/officeDocument/2006/relationships/hyperlink" Target="https://map.geo.admin.ch/?zoom=13&amp;E=2612411.025&amp;N=1204926.141&amp;layers=ch.kantone.cadastralwebmap-farbe,ch.swisstopo.amtliches-strassenverzeichnis,ch.bfs.gebaeude_wohnungs_register,KML||https://tinyurl.com/yy7ya4g9/BE/0955_bdg_erw.kml" TargetMode="External"/><Relationship Id="rId1109" Type="http://schemas.openxmlformats.org/officeDocument/2006/relationships/hyperlink" Target="https://map.geo.admin.ch/?zoom=13&amp;E=2618546.25&amp;N=1231172.875&amp;layers=ch.kantone.cadastralwebmap-farbe,ch.swisstopo.amtliches-strassenverzeichnis,ch.bfs.gebaeude_wohnungs_register,KML||https://tinyurl.com/yy7ya4g9/BE/0991_bdg_erw.kml" TargetMode="External"/><Relationship Id="rId258" Type="http://schemas.openxmlformats.org/officeDocument/2006/relationships/hyperlink" Target="https://map.geo.admin.ch/?zoom=13&amp;E=2610603&amp;N=1215644&amp;layers=ch.kantone.cadastralwebmap-farbe,ch.swisstopo.amtliches-strassenverzeichnis,ch.bfs.gebaeude_wohnungs_register,KML||https://tinyurl.com/yy7ya4g9/BE/0412_bdg_erw.kml" TargetMode="External"/><Relationship Id="rId465" Type="http://schemas.openxmlformats.org/officeDocument/2006/relationships/hyperlink" Target="https://map.geo.admin.ch/?zoom=13&amp;E=2634848&amp;N=1155178&amp;layers=ch.kantone.cadastralwebmap-farbe,ch.swisstopo.amtliches-strassenverzeichnis,ch.bfs.gebaeude_wohnungs_register,KML||https://tinyurl.com/yy7ya4g9/BE/0584_bdg_erw.kml" TargetMode="External"/><Relationship Id="rId672" Type="http://schemas.openxmlformats.org/officeDocument/2006/relationships/hyperlink" Target="https://map.geo.admin.ch/?zoom=13&amp;E=2591466.963&amp;N=1142488.508&amp;layers=ch.kantone.cadastralwebmap-farbe,ch.swisstopo.amtliches-strassenverzeichnis,ch.bfs.gebaeude_wohnungs_register,KML||https://tinyurl.com/yy7ya4g9/BE/0842_bdg_erw.kml" TargetMode="External"/><Relationship Id="rId1095" Type="http://schemas.openxmlformats.org/officeDocument/2006/relationships/hyperlink" Target="https://map.geo.admin.ch/?zoom=13&amp;E=2619022.5&amp;N=1231016.375&amp;layers=ch.kantone.cadastralwebmap-farbe,ch.swisstopo.amtliches-strassenverzeichnis,ch.bfs.gebaeude_wohnungs_register,KML||https://tinyurl.com/yy7ya4g9/BE/0991_bdg_erw.kml" TargetMode="External"/><Relationship Id="rId22" Type="http://schemas.openxmlformats.org/officeDocument/2006/relationships/hyperlink" Target="https://map.geo.admin.ch/?zoom=13&amp;E=2589473&amp;N=1213666&amp;layers=ch.kantone.cadastralwebmap-farbe,ch.swisstopo.amtliches-strassenverzeichnis,ch.bfs.gebaeude_wohnungs_register,KML||https://tinyurl.com/yy7ya4g9/BE/0306_bdg_erw.kml" TargetMode="External"/><Relationship Id="rId118" Type="http://schemas.openxmlformats.org/officeDocument/2006/relationships/hyperlink" Target="https://map.geo.admin.ch/?zoom=13&amp;E=2604537&amp;N=1197898&amp;layers=ch.kantone.cadastralwebmap-farbe,ch.swisstopo.amtliches-strassenverzeichnis,ch.bfs.gebaeude_wohnungs_register,KML||https://tinyurl.com/yy7ya4g9/BE/0356_bdg_erw.kml" TargetMode="External"/><Relationship Id="rId325" Type="http://schemas.openxmlformats.org/officeDocument/2006/relationships/hyperlink" Target="https://map.geo.admin.ch/?zoom=13&amp;E=2604684&amp;N=1208682&amp;layers=ch.kantone.cadastralwebmap-farbe,ch.swisstopo.amtliches-strassenverzeichnis,ch.bfs.gebaeude_wohnungs_register,KML||https://tinyurl.com/yy7ya4g9/BE/0551_bdg_erw.kml" TargetMode="External"/><Relationship Id="rId532" Type="http://schemas.openxmlformats.org/officeDocument/2006/relationships/hyperlink" Target="https://map.geo.admin.ch/?zoom=13&amp;E=2609787&amp;N=1187224&amp;layers=ch.kantone.cadastralwebmap-farbe,ch.swisstopo.amtliches-strassenverzeichnis,ch.bfs.gebaeude_wohnungs_register,KML||https://tinyurl.com/yy7ya4g9/BE/0632_bdg_erw.kml" TargetMode="External"/><Relationship Id="rId977" Type="http://schemas.openxmlformats.org/officeDocument/2006/relationships/hyperlink" Target="https://map.geo.admin.ch/?zoom=13&amp;E=2609862.75&amp;N=1179093.625&amp;layers=ch.kantone.cadastralwebmap-farbe,ch.swisstopo.amtliches-strassenverzeichnis,ch.bfs.gebaeude_wohnungs_register,KML||https://tinyurl.com/yy7ya4g9/BE/0944_bdg_erw.kml" TargetMode="External"/><Relationship Id="rId171" Type="http://schemas.openxmlformats.org/officeDocument/2006/relationships/hyperlink" Target="https://map.geo.admin.ch/?zoom=13&amp;E=2588339.772&amp;N=1223116.093&amp;layers=ch.kantone.cadastralwebmap-farbe,ch.swisstopo.amtliches-strassenverzeichnis,ch.bfs.gebaeude_wohnungs_register,KML||https://tinyurl.com/yy7ya4g9/BE/0371_bdg_erw.kml" TargetMode="External"/><Relationship Id="rId837" Type="http://schemas.openxmlformats.org/officeDocument/2006/relationships/hyperlink" Target="https://map.geo.admin.ch/?zoom=13&amp;E=2604273&amp;N=1179789&amp;layers=ch.kantone.cadastralwebmap-farbe,ch.swisstopo.amtliches-strassenverzeichnis,ch.bfs.gebaeude_wohnungs_register,KML||https://tinyurl.com/yy7ya4g9/BE/0886_bdg_erw.kml" TargetMode="External"/><Relationship Id="rId1022" Type="http://schemas.openxmlformats.org/officeDocument/2006/relationships/hyperlink" Target="https://map.geo.admin.ch/?zoom=13&amp;E=2631518.09&amp;N=1206245.212&amp;layers=ch.kantone.cadastralwebmap-farbe,ch.swisstopo.amtliches-strassenverzeichnis,ch.bfs.gebaeude_wohnungs_register,KML||https://tinyurl.com/yy7ya4g9/BE/0957_bdg_erw.kml" TargetMode="External"/><Relationship Id="rId269" Type="http://schemas.openxmlformats.org/officeDocument/2006/relationships/hyperlink" Target="https://map.geo.admin.ch/?zoom=13&amp;E=2610397.25&amp;N=1214834.25&amp;layers=ch.kantone.cadastralwebmap-farbe,ch.swisstopo.amtliches-strassenverzeichnis,ch.bfs.gebaeude_wohnungs_register,KML||https://tinyurl.com/yy7ya4g9/BE/0420_bdg_erw.kml" TargetMode="External"/><Relationship Id="rId476" Type="http://schemas.openxmlformats.org/officeDocument/2006/relationships/hyperlink" Target="https://map.geo.admin.ch/?zoom=13&amp;E=2638880&amp;N=1175287&amp;layers=ch.kantone.cadastralwebmap-farbe,ch.swisstopo.amtliches-strassenverzeichnis,ch.bfs.gebaeude_wohnungs_register,KML||https://tinyurl.com/yy7ya4g9/BE/0589_bdg_erw.kml" TargetMode="External"/><Relationship Id="rId683" Type="http://schemas.openxmlformats.org/officeDocument/2006/relationships/hyperlink" Target="https://map.geo.admin.ch/?zoom=13&amp;E=2596794.452&amp;N=1180757.926&amp;layers=ch.kantone.cadastralwebmap-farbe,ch.swisstopo.amtliches-strassenverzeichnis,ch.bfs.gebaeude_wohnungs_register,KML||https://tinyurl.com/yy7ya4g9/BE/0853_bdg_erw.kml" TargetMode="External"/><Relationship Id="rId890" Type="http://schemas.openxmlformats.org/officeDocument/2006/relationships/hyperlink" Target="https://map.geo.admin.ch/?zoom=13&amp;E=2629259.649&amp;N=1193426.393&amp;layers=ch.kantone.cadastralwebmap-farbe,ch.swisstopo.amtliches-strassenverzeichnis,ch.bfs.gebaeude_wohnungs_register,KML||https://tinyurl.com/yy7ya4g9/BE/0909_bdg_erw.kml" TargetMode="External"/><Relationship Id="rId904" Type="http://schemas.openxmlformats.org/officeDocument/2006/relationships/hyperlink" Target="https://map.geo.admin.ch/?zoom=13&amp;E=2612624.913&amp;N=1181235.094&amp;layers=ch.kantone.cadastralwebmap-farbe,ch.swisstopo.amtliches-strassenverzeichnis,ch.bfs.gebaeude_wohnungs_register,KML||https://tinyurl.com/yy7ya4g9/BE/0928_bdg_erw.kml" TargetMode="External"/><Relationship Id="rId33" Type="http://schemas.openxmlformats.org/officeDocument/2006/relationships/hyperlink" Target="https://map.geo.admin.ch/?zoom=13&amp;E=2589761.42&amp;N=1212997.999&amp;layers=ch.kantone.cadastralwebmap-farbe,ch.swisstopo.amtliches-strassenverzeichnis,ch.bfs.gebaeude_wohnungs_register,KML||https://tinyurl.com/yy7ya4g9/BE/0306_bdg_erw.kml" TargetMode="External"/><Relationship Id="rId129" Type="http://schemas.openxmlformats.org/officeDocument/2006/relationships/hyperlink" Target="https://map.geo.admin.ch/?zoom=13&amp;E=2611123&amp;N=1199659&amp;layers=ch.kantone.cadastralwebmap-farbe,ch.swisstopo.amtliches-strassenverzeichnis,ch.bfs.gebaeude_wohnungs_register,KML||https://tinyurl.com/yy7ya4g9/BE/0359_bdg_erw.kml" TargetMode="External"/><Relationship Id="rId336" Type="http://schemas.openxmlformats.org/officeDocument/2006/relationships/hyperlink" Target="https://map.geo.admin.ch/?zoom=13&amp;E=2616065&amp;N=1159435&amp;layers=ch.kantone.cadastralwebmap-farbe,ch.swisstopo.amtliches-strassenverzeichnis,ch.bfs.gebaeude_wohnungs_register,KML||https://tinyurl.com/yy7ya4g9/BE/0563_bdg_erw.kml" TargetMode="External"/><Relationship Id="rId543" Type="http://schemas.openxmlformats.org/officeDocument/2006/relationships/hyperlink" Target="https://map.geo.admin.ch/?zoom=13&amp;E=2609812.57&amp;N=1187697.758&amp;layers=ch.kantone.cadastralwebmap-farbe,ch.swisstopo.amtliches-strassenverzeichnis,ch.bfs.gebaeude_wohnungs_register,KML||https://tinyurl.com/yy7ya4g9/BE/0632_bdg_erw.kml" TargetMode="External"/><Relationship Id="rId988" Type="http://schemas.openxmlformats.org/officeDocument/2006/relationships/hyperlink" Target="https://map.geo.admin.ch/?zoom=13&amp;E=2631762&amp;N=1213576&amp;layers=ch.kantone.cadastralwebmap-farbe,ch.swisstopo.amtliches-strassenverzeichnis,ch.bfs.gebaeude_wohnungs_register,KML||https://tinyurl.com/yy7ya4g9/BE/0953_bdg_erw.kml" TargetMode="External"/><Relationship Id="rId182" Type="http://schemas.openxmlformats.org/officeDocument/2006/relationships/hyperlink" Target="https://map.geo.admin.ch/?zoom=13&amp;E=2586846.254&amp;N=1221236.677&amp;layers=ch.kantone.cadastralwebmap-farbe,ch.swisstopo.amtliches-strassenverzeichnis,ch.bfs.gebaeude_wohnungs_register,KML||https://tinyurl.com/yy7ya4g9/BE/0371_bdg_erw.kml" TargetMode="External"/><Relationship Id="rId403" Type="http://schemas.openxmlformats.org/officeDocument/2006/relationships/hyperlink" Target="https://map.geo.admin.ch/?zoom=13&amp;E=2620675&amp;N=1158742&amp;layers=ch.kantone.cadastralwebmap-farbe,ch.swisstopo.amtliches-strassenverzeichnis,ch.bfs.gebaeude_wohnungs_register,KML||https://tinyurl.com/yy7ya4g9/BE/0567_bdg_erw.kml" TargetMode="External"/><Relationship Id="rId750" Type="http://schemas.openxmlformats.org/officeDocument/2006/relationships/hyperlink" Target="https://map.geo.admin.ch/?zoom=13&amp;E=2601103.75&amp;N=1190320.625&amp;layers=ch.kantone.cadastralwebmap-farbe,ch.swisstopo.amtliches-strassenverzeichnis,ch.bfs.gebaeude_wohnungs_register,KML||https://tinyurl.com/yy7ya4g9/BE/0877_bdg_erw.kml" TargetMode="External"/><Relationship Id="rId848" Type="http://schemas.openxmlformats.org/officeDocument/2006/relationships/hyperlink" Target="https://map.geo.admin.ch/?zoom=13&amp;E=2604256&amp;N=1176953&amp;layers=ch.kantone.cadastralwebmap-farbe,ch.swisstopo.amtliches-strassenverzeichnis,ch.bfs.gebaeude_wohnungs_register,KML||https://tinyurl.com/yy7ya4g9/BE/0886_bdg_erw.kml" TargetMode="External"/><Relationship Id="rId1033" Type="http://schemas.openxmlformats.org/officeDocument/2006/relationships/hyperlink" Target="https://map.geo.admin.ch/?zoom=13&amp;E=2625211.681&amp;N=1215813.916&amp;layers=ch.kantone.cadastralwebmap-farbe,ch.swisstopo.amtliches-strassenverzeichnis,ch.bfs.gebaeude_wohnungs_register,KML||https://tinyurl.com/yy7ya4g9/BE/0959_bdg_erw.kml" TargetMode="External"/><Relationship Id="rId487" Type="http://schemas.openxmlformats.org/officeDocument/2006/relationships/hyperlink" Target="https://map.geo.admin.ch/?zoom=13&amp;E=2633065.497&amp;N=1169153.005&amp;layers=ch.kantone.cadastralwebmap-farbe,ch.swisstopo.amtliches-strassenverzeichnis,ch.bfs.gebaeude_wohnungs_register,KML||https://tinyurl.com/yy7ya4g9/BE/0594_bdg_erw.kml" TargetMode="External"/><Relationship Id="rId610" Type="http://schemas.openxmlformats.org/officeDocument/2006/relationships/hyperlink" Target="https://map.geo.admin.ch/?zoom=13&amp;E=2581575.5&amp;N=1212526.125&amp;layers=ch.kantone.cadastralwebmap-farbe,ch.swisstopo.amtliches-strassenverzeichnis,ch.bfs.gebaeude_wohnungs_register,KML||https://tinyurl.com/yy7ya4g9/BE/0751_bdg_erw.kml" TargetMode="External"/><Relationship Id="rId694" Type="http://schemas.openxmlformats.org/officeDocument/2006/relationships/hyperlink" Target="https://map.geo.admin.ch/?zoom=13&amp;E=2597064.086&amp;N=1181260.16&amp;layers=ch.kantone.cadastralwebmap-farbe,ch.swisstopo.amtliches-strassenverzeichnis,ch.bfs.gebaeude_wohnungs_register,KML||https://tinyurl.com/yy7ya4g9/BE/0853_bdg_erw.kml" TargetMode="External"/><Relationship Id="rId708" Type="http://schemas.openxmlformats.org/officeDocument/2006/relationships/hyperlink" Target="https://map.geo.admin.ch/?zoom=13&amp;E=2607908.79&amp;N=1188036.326&amp;layers=ch.kantone.cadastralwebmap-farbe,ch.swisstopo.amtliches-strassenverzeichnis,ch.bfs.gebaeude_wohnungs_register,KML||https://tinyurl.com/yy7ya4g9/BE/0866_bdg_erw.kml" TargetMode="External"/><Relationship Id="rId915" Type="http://schemas.openxmlformats.org/officeDocument/2006/relationships/hyperlink" Target="https://map.geo.admin.ch/?zoom=13&amp;E=2626815&amp;N=1176955&amp;layers=ch.kantone.cadastralwebmap-farbe,ch.swisstopo.amtliches-strassenverzeichnis,ch.bfs.gebaeude_wohnungs_register,KML||https://tinyurl.com/yy7ya4g9/BE/0938_bdg_erw.kml" TargetMode="External"/><Relationship Id="rId347" Type="http://schemas.openxmlformats.org/officeDocument/2006/relationships/hyperlink" Target="https://map.geo.admin.ch/?zoom=13&amp;E=2612945.774&amp;N=1157009.876&amp;layers=ch.kantone.cadastralwebmap-farbe,ch.swisstopo.amtliches-strassenverzeichnis,ch.bfs.gebaeude_wohnungs_register,KML||https://tinyurl.com/yy7ya4g9/BE/0563_bdg_erw.kml" TargetMode="External"/><Relationship Id="rId999" Type="http://schemas.openxmlformats.org/officeDocument/2006/relationships/hyperlink" Target="https://map.geo.admin.ch/?zoom=13&amp;E=2618809&amp;N=1205844&amp;layers=ch.kantone.cadastralwebmap-farbe,ch.swisstopo.amtliches-strassenverzeichnis,ch.bfs.gebaeude_wohnungs_register,KML||https://tinyurl.com/yy7ya4g9/BE/0955_bdg_erw.kml" TargetMode="External"/><Relationship Id="rId1100" Type="http://schemas.openxmlformats.org/officeDocument/2006/relationships/hyperlink" Target="https://map.geo.admin.ch/?zoom=13&amp;E=2618943.25&amp;N=1231267.375&amp;layers=ch.kantone.cadastralwebmap-farbe,ch.swisstopo.amtliches-strassenverzeichnis,ch.bfs.gebaeude_wohnungs_register,KML||https://tinyurl.com/yy7ya4g9/BE/0991_bdg_erw.kml" TargetMode="External"/><Relationship Id="rId44" Type="http://schemas.openxmlformats.org/officeDocument/2006/relationships/hyperlink" Target="https://map.geo.admin.ch/?zoom=13&amp;E=2593446&amp;N=1208290&amp;layers=ch.kantone.cadastralwebmap-farbe,ch.swisstopo.amtliches-strassenverzeichnis,ch.bfs.gebaeude_wohnungs_register,KML||https://tinyurl.com/yy7ya4g9/BE/0311_bdg_erw.kml" TargetMode="External"/><Relationship Id="rId554" Type="http://schemas.openxmlformats.org/officeDocument/2006/relationships/hyperlink" Target="https://map.geo.admin.ch/?zoom=13&amp;E=2585204.657&amp;N=1194440.191&amp;layers=ch.kantone.cadastralwebmap-farbe,ch.swisstopo.amtliches-strassenverzeichnis,ch.bfs.gebaeude_wohnungs_register,KML||https://tinyurl.com/yy7ya4g9/BE/0667_bdg_erw.kml" TargetMode="External"/><Relationship Id="rId761" Type="http://schemas.openxmlformats.org/officeDocument/2006/relationships/hyperlink" Target="https://map.geo.admin.ch/?zoom=13&amp;E=2602181.75&amp;N=1189821.375&amp;layers=ch.kantone.cadastralwebmap-farbe,ch.swisstopo.amtliches-strassenverzeichnis,ch.bfs.gebaeude_wohnungs_register,KML||https://tinyurl.com/yy7ya4g9/BE/0877_bdg_erw.kml" TargetMode="External"/><Relationship Id="rId859" Type="http://schemas.openxmlformats.org/officeDocument/2006/relationships/hyperlink" Target="https://map.geo.admin.ch/?zoom=13&amp;E=2605500&amp;N=1178000&amp;layers=ch.kantone.cadastralwebmap-farbe,ch.swisstopo.amtliches-strassenverzeichnis,ch.bfs.gebaeude_wohnungs_register,KML||https://tinyurl.com/yy7ya4g9/BE/0886_bdg_erw.kml" TargetMode="External"/><Relationship Id="rId193" Type="http://schemas.openxmlformats.org/officeDocument/2006/relationships/hyperlink" Target="https://map.geo.admin.ch/?zoom=13&amp;E=2598991&amp;N=1223788&amp;layers=ch.kantone.cadastralwebmap-farbe,ch.swisstopo.amtliches-strassenverzeichnis,ch.bfs.gebaeude_wohnungs_register,KML||https://tinyurl.com/yy7ya4g9/BE/0381_bdg_erw.kml" TargetMode="External"/><Relationship Id="rId207" Type="http://schemas.openxmlformats.org/officeDocument/2006/relationships/hyperlink" Target="https://map.geo.admin.ch/?zoom=13&amp;E=2602062.25&amp;N=1224698.125&amp;layers=ch.kantone.cadastralwebmap-farbe,ch.swisstopo.amtliches-strassenverzeichnis,ch.bfs.gebaeude_wohnungs_register,KML||https://tinyurl.com/yy7ya4g9/BE/0388_bdg_erw.kml" TargetMode="External"/><Relationship Id="rId414" Type="http://schemas.openxmlformats.org/officeDocument/2006/relationships/hyperlink" Target="https://map.geo.admin.ch/?zoom=13&amp;E=2621495&amp;N=1159380&amp;layers=ch.kantone.cadastralwebmap-farbe,ch.swisstopo.amtliches-strassenverzeichnis,ch.bfs.gebaeude_wohnungs_register,KML||https://tinyurl.com/yy7ya4g9/BE/0567_bdg_erw.kml" TargetMode="External"/><Relationship Id="rId498" Type="http://schemas.openxmlformats.org/officeDocument/2006/relationships/hyperlink" Target="https://map.geo.admin.ch/?zoom=13&amp;E=2610013.454&amp;N=1191961.382&amp;layers=ch.kantone.cadastralwebmap-farbe,ch.swisstopo.amtliches-strassenverzeichnis,ch.bfs.gebaeude_wohnungs_register,KML||https://tinyurl.com/yy7ya4g9/BE/0616_bdg_erw.kml" TargetMode="External"/><Relationship Id="rId621" Type="http://schemas.openxmlformats.org/officeDocument/2006/relationships/hyperlink" Target="https://map.geo.admin.ch/?zoom=13&amp;E=2610073&amp;N=1161272&amp;layers=ch.kantone.cadastralwebmap-farbe,ch.swisstopo.amtliches-strassenverzeichnis,ch.bfs.gebaeude_wohnungs_register,KML||https://tinyurl.com/yy7ya4g9/BE/0762_bdg_erw.kml" TargetMode="External"/><Relationship Id="rId1044" Type="http://schemas.openxmlformats.org/officeDocument/2006/relationships/hyperlink" Target="https://map.geo.admin.ch/?zoom=13&amp;E=2625260.958&amp;N=1217732.249&amp;layers=ch.kantone.cadastralwebmap-farbe,ch.swisstopo.amtliches-strassenverzeichnis,ch.bfs.gebaeude_wohnungs_register,KML||https://tinyurl.com/yy7ya4g9/BE/0959_bdg_erw.kml" TargetMode="External"/><Relationship Id="rId260" Type="http://schemas.openxmlformats.org/officeDocument/2006/relationships/hyperlink" Target="https://map.geo.admin.ch/?zoom=13&amp;E=2611471.75&amp;N=1213595.625&amp;layers=ch.kantone.cadastralwebmap-farbe,ch.swisstopo.amtliches-strassenverzeichnis,ch.bfs.gebaeude_wohnungs_register,KML||https://tinyurl.com/yy7ya4g9/BE/0415_bdg_erw.kml" TargetMode="External"/><Relationship Id="rId719" Type="http://schemas.openxmlformats.org/officeDocument/2006/relationships/hyperlink" Target="https://map.geo.admin.ch/?zoom=13&amp;E=2609629.198&amp;N=1184407.16&amp;layers=ch.kantone.cadastralwebmap-farbe,ch.swisstopo.amtliches-strassenverzeichnis,ch.bfs.gebaeude_wohnungs_register,KML||https://tinyurl.com/yy7ya4g9/BE/0872_bdg_erw.kml" TargetMode="External"/><Relationship Id="rId926" Type="http://schemas.openxmlformats.org/officeDocument/2006/relationships/hyperlink" Target="https://map.geo.admin.ch/?zoom=13&amp;E=2621687.4&amp;N=1173533.175&amp;layers=ch.kantone.cadastralwebmap-farbe,ch.swisstopo.amtliches-strassenverzeichnis,ch.bfs.gebaeude_wohnungs_register,KML||https://tinyurl.com/yy7ya4g9/BE/0938_bdg_erw.kml" TargetMode="External"/><Relationship Id="rId1111" Type="http://schemas.openxmlformats.org/officeDocument/2006/relationships/hyperlink" Target="https://map.geo.admin.ch/?zoom=13&amp;E=2618431.75&amp;N=1231151.625&amp;layers=ch.kantone.cadastralwebmap-farbe,ch.swisstopo.amtliches-strassenverzeichnis,ch.bfs.gebaeude_wohnungs_register,KML||https://tinyurl.com/yy7ya4g9/BE/0991_bdg_erw.kml" TargetMode="External"/><Relationship Id="rId55" Type="http://schemas.openxmlformats.org/officeDocument/2006/relationships/hyperlink" Target="https://map.geo.admin.ch/?zoom=13&amp;E=2626088.066&amp;N=1230615.254&amp;layers=ch.kantone.cadastralwebmap-farbe,ch.swisstopo.amtliches-strassenverzeichnis,ch.bfs.gebaeude_wohnungs_register,KML||https://tinyurl.com/yy7ya4g9/BE/0329_bdg_erw.kml" TargetMode="External"/><Relationship Id="rId120" Type="http://schemas.openxmlformats.org/officeDocument/2006/relationships/hyperlink" Target="https://map.geo.admin.ch/?zoom=13&amp;E=2604661&amp;N=1196671&amp;layers=ch.kantone.cadastralwebmap-farbe,ch.swisstopo.amtliches-strassenverzeichnis,ch.bfs.gebaeude_wohnungs_register,KML||https://tinyurl.com/yy7ya4g9/BE/0356_bdg_erw.kml" TargetMode="External"/><Relationship Id="rId358" Type="http://schemas.openxmlformats.org/officeDocument/2006/relationships/hyperlink" Target="https://map.geo.admin.ch/?zoom=13&amp;E=2613711&amp;N=1157318&amp;layers=ch.kantone.cadastralwebmap-farbe,ch.swisstopo.amtliches-strassenverzeichnis,ch.bfs.gebaeude_wohnungs_register,KML||https://tinyurl.com/yy7ya4g9/BE/0563_bdg_erw.kml" TargetMode="External"/><Relationship Id="rId565" Type="http://schemas.openxmlformats.org/officeDocument/2006/relationships/hyperlink" Target="https://map.geo.admin.ch/?zoom=13&amp;E=2572873.097&amp;N=1218817.111&amp;layers=ch.kantone.cadastralwebmap-farbe,ch.swisstopo.amtliches-strassenverzeichnis,ch.bfs.gebaeude_wohnungs_register,KML||https://tinyurl.com/yy7ya4g9/BE/0724_bdg_erw.kml" TargetMode="External"/><Relationship Id="rId772" Type="http://schemas.openxmlformats.org/officeDocument/2006/relationships/hyperlink" Target="https://map.geo.admin.ch/?zoom=13&amp;E=2602092&amp;N=1184641&amp;layers=ch.kantone.cadastralwebmap-farbe,ch.swisstopo.amtliches-strassenverzeichnis,ch.bfs.gebaeude_wohnungs_register,KML||https://tinyurl.com/yy7ya4g9/BE/0879_bdg_erw.kml" TargetMode="External"/><Relationship Id="rId218" Type="http://schemas.openxmlformats.org/officeDocument/2006/relationships/hyperlink" Target="https://map.geo.admin.ch/?zoom=13&amp;E=2592157.646&amp;N=1224665.58&amp;layers=ch.kantone.cadastralwebmap-farbe,ch.swisstopo.amtliches-strassenverzeichnis,ch.bfs.gebaeude_wohnungs_register,KML||https://tinyurl.com/yy7ya4g9/BE/0392_bdg_erw.kml" TargetMode="External"/><Relationship Id="rId425" Type="http://schemas.openxmlformats.org/officeDocument/2006/relationships/hyperlink" Target="https://map.geo.admin.ch/?zoom=13&amp;E=2618684&amp;N=1163827&amp;layers=ch.kantone.cadastralwebmap-farbe,ch.swisstopo.amtliches-strassenverzeichnis,ch.bfs.gebaeude_wohnungs_register,KML||https://tinyurl.com/yy7ya4g9/BE/0567_bdg_erw.kml" TargetMode="External"/><Relationship Id="rId632" Type="http://schemas.openxmlformats.org/officeDocument/2006/relationships/hyperlink" Target="https://map.geo.admin.ch/?zoom=13&amp;E=2602767&amp;N=1160978&amp;layers=ch.kantone.cadastralwebmap-farbe,ch.swisstopo.amtliches-strassenverzeichnis,ch.bfs.gebaeude_wohnungs_register,KML||https://tinyurl.com/yy7ya4g9/BE/0762_bdg_erw.kml" TargetMode="External"/><Relationship Id="rId1055" Type="http://schemas.openxmlformats.org/officeDocument/2006/relationships/hyperlink" Target="https://map.geo.admin.ch/?zoom=13&amp;E=2625118.945&amp;N=1218174.231&amp;layers=ch.kantone.cadastralwebmap-farbe,ch.swisstopo.amtliches-strassenverzeichnis,ch.bfs.gebaeude_wohnungs_register,KML||https://tinyurl.com/yy7ya4g9/BE/0959_bdg_erw.kml" TargetMode="External"/><Relationship Id="rId271" Type="http://schemas.openxmlformats.org/officeDocument/2006/relationships/hyperlink" Target="https://map.geo.admin.ch/?zoom=13&amp;E=2610408.75&amp;N=1214841&amp;layers=ch.kantone.cadastralwebmap-farbe,ch.swisstopo.amtliches-strassenverzeichnis,ch.bfs.gebaeude_wohnungs_register,KML||https://tinyurl.com/yy7ya4g9/BE/0420_bdg_erw.kml" TargetMode="External"/><Relationship Id="rId937" Type="http://schemas.openxmlformats.org/officeDocument/2006/relationships/hyperlink" Target="https://map.geo.admin.ch/?zoom=13&amp;E=2613633.027&amp;N=1180451.829&amp;layers=ch.kantone.cadastralwebmap-farbe,ch.swisstopo.amtliches-strassenverzeichnis,ch.bfs.gebaeude_wohnungs_register,KML||https://tinyurl.com/yy7ya4g9/BE/0939_bdg_erw.kml" TargetMode="External"/><Relationship Id="rId1122" Type="http://schemas.openxmlformats.org/officeDocument/2006/relationships/hyperlink" Target="https://map.geo.admin.ch/?zoom=13&amp;E=2617920&amp;N=1230971.375&amp;layers=ch.kantone.cadastralwebmap-farbe,ch.swisstopo.amtliches-strassenverzeichnis,ch.bfs.gebaeude_wohnungs_register,KML||https://tinyurl.com/yy7ya4g9/BE/0991_bdg_erw.kml" TargetMode="External"/><Relationship Id="rId66" Type="http://schemas.openxmlformats.org/officeDocument/2006/relationships/hyperlink" Target="https://map.geo.admin.ch/?zoom=13&amp;E=2626093.977&amp;N=1226240.421&amp;layers=ch.kantone.cadastralwebmap-farbe,ch.swisstopo.amtliches-strassenverzeichnis,ch.bfs.gebaeude_wohnungs_register,KML||https://tinyurl.com/yy7ya4g9/BE/0331_bdg_erw.kml" TargetMode="External"/><Relationship Id="rId131" Type="http://schemas.openxmlformats.org/officeDocument/2006/relationships/hyperlink" Target="https://map.geo.admin.ch/?zoom=13&amp;E=2609837.08&amp;N=1201139.91&amp;layers=ch.kantone.cadastralwebmap-farbe,ch.swisstopo.amtliches-strassenverzeichnis,ch.bfs.gebaeude_wohnungs_register,KML||https://tinyurl.com/yy7ya4g9/BE/0359_bdg_erw.kml" TargetMode="External"/><Relationship Id="rId369" Type="http://schemas.openxmlformats.org/officeDocument/2006/relationships/hyperlink" Target="https://map.geo.admin.ch/?zoom=13&amp;E=2610632.5&amp;N=1152647.125&amp;layers=ch.kantone.cadastralwebmap-farbe,ch.swisstopo.amtliches-strassenverzeichnis,ch.bfs.gebaeude_wohnungs_register,KML||https://tinyurl.com/yy7ya4g9/BE/0563_bdg_erw.kml" TargetMode="External"/><Relationship Id="rId576" Type="http://schemas.openxmlformats.org/officeDocument/2006/relationships/hyperlink" Target="https://map.geo.admin.ch/?zoom=13&amp;E=2585422.909&amp;N=1216593.487&amp;layers=ch.kantone.cadastralwebmap-farbe,ch.swisstopo.amtliches-strassenverzeichnis,ch.bfs.gebaeude_wohnungs_register,KML||https://tinyurl.com/yy7ya4g9/BE/0732_bdg_erw.kml" TargetMode="External"/><Relationship Id="rId783" Type="http://schemas.openxmlformats.org/officeDocument/2006/relationships/hyperlink" Target="https://map.geo.admin.ch/?zoom=13&amp;E=2602484.995&amp;N=1185364.973&amp;layers=ch.kantone.cadastralwebmap-farbe,ch.swisstopo.amtliches-strassenverzeichnis,ch.bfs.gebaeude_wohnungs_register,KML||https://tinyurl.com/yy7ya4g9/BE/0880_bdg_erw.kml" TargetMode="External"/><Relationship Id="rId990" Type="http://schemas.openxmlformats.org/officeDocument/2006/relationships/hyperlink" Target="https://map.geo.admin.ch/?zoom=13&amp;E=2632451.915&amp;N=1213583.583&amp;layers=ch.kantone.cadastralwebmap-farbe,ch.swisstopo.amtliches-strassenverzeichnis,ch.bfs.gebaeude_wohnungs_register,KML||https://tinyurl.com/yy7ya4g9/BE/0953_bdg_erw.kml" TargetMode="External"/><Relationship Id="rId229" Type="http://schemas.openxmlformats.org/officeDocument/2006/relationships/hyperlink" Target="https://map.geo.admin.ch/?zoom=13&amp;E=2613273.75&amp;N=1212832.875&amp;layers=ch.kantone.cadastralwebmap-farbe,ch.swisstopo.amtliches-strassenverzeichnis,ch.bfs.gebaeude_wohnungs_register,KML||https://tinyurl.com/yy7ya4g9/BE/0404_bdg_erw.kml" TargetMode="External"/><Relationship Id="rId436" Type="http://schemas.openxmlformats.org/officeDocument/2006/relationships/hyperlink" Target="https://map.geo.admin.ch/?zoom=13&amp;E=2623664&amp;N=1153222&amp;layers=ch.kantone.cadastralwebmap-farbe,ch.swisstopo.amtliches-strassenverzeichnis,ch.bfs.gebaeude_wohnungs_register,KML||https://tinyurl.com/yy7ya4g9/BE/0567_bdg_erw.kml" TargetMode="External"/><Relationship Id="rId643" Type="http://schemas.openxmlformats.org/officeDocument/2006/relationships/hyperlink" Target="https://map.geo.admin.ch/?zoom=13&amp;E=2598220.652&amp;N=1167189.111&amp;layers=ch.kantone.cadastralwebmap-farbe,ch.swisstopo.amtliches-strassenverzeichnis,ch.bfs.gebaeude_wohnungs_register,KML||https://tinyurl.com/yy7ya4g9/BE/0766_bdg_erw.kml" TargetMode="External"/><Relationship Id="rId1066" Type="http://schemas.openxmlformats.org/officeDocument/2006/relationships/hyperlink" Target="https://map.geo.admin.ch/?zoom=13&amp;E=2624506.994&amp;N=1216039.237&amp;layers=ch.kantone.cadastralwebmap-farbe,ch.swisstopo.amtliches-strassenverzeichnis,ch.bfs.gebaeude_wohnungs_register,KML||https://tinyurl.com/yy7ya4g9/BE/0959_bdg_erw.kml" TargetMode="External"/><Relationship Id="rId850" Type="http://schemas.openxmlformats.org/officeDocument/2006/relationships/hyperlink" Target="https://map.geo.admin.ch/?zoom=13&amp;E=2604397&amp;N=1176902&amp;layers=ch.kantone.cadastralwebmap-farbe,ch.swisstopo.amtliches-strassenverzeichnis,ch.bfs.gebaeude_wohnungs_register,KML||https://tinyurl.com/yy7ya4g9/BE/0886_bdg_erw.kml" TargetMode="External"/><Relationship Id="rId948" Type="http://schemas.openxmlformats.org/officeDocument/2006/relationships/hyperlink" Target="https://map.geo.admin.ch/?zoom=13&amp;E=2615644.977&amp;N=1181855.078&amp;layers=ch.kantone.cadastralwebmap-farbe,ch.swisstopo.amtliches-strassenverzeichnis,ch.bfs.gebaeude_wohnungs_register,KML||https://tinyurl.com/yy7ya4g9/BE/0939_bdg_erw.kml" TargetMode="External"/><Relationship Id="rId1133" Type="http://schemas.openxmlformats.org/officeDocument/2006/relationships/hyperlink" Target="https://map.geo.admin.ch/?zoom=13&amp;E=2616817&amp;N=1231536&amp;layers=ch.kantone.cadastralwebmap-farbe,ch.swisstopo.amtliches-strassenverzeichnis,ch.bfs.gebaeude_wohnungs_register,KML||https://tinyurl.com/yy7ya4g9/BE/0992_bdg_erw.kml" TargetMode="External"/><Relationship Id="rId77" Type="http://schemas.openxmlformats.org/officeDocument/2006/relationships/hyperlink" Target="https://map.geo.admin.ch/?zoom=13&amp;E=2629509&amp;N=1231640&amp;layers=ch.kantone.cadastralwebmap-farbe,ch.swisstopo.amtliches-strassenverzeichnis,ch.bfs.gebaeude_wohnungs_register,KML||https://tinyurl.com/yy7ya4g9/BE/0337_bdg_erw.kml" TargetMode="External"/><Relationship Id="rId282" Type="http://schemas.openxmlformats.org/officeDocument/2006/relationships/hyperlink" Target="https://map.geo.admin.ch/?zoom=13&amp;E=2613393.445&amp;N=1221771.06&amp;layers=ch.kantone.cadastralwebmap-farbe,ch.swisstopo.amtliches-strassenverzeichnis,ch.bfs.gebaeude_wohnungs_register,KML||https://tinyurl.com/yy7ya4g9/BE/0423_bdg_erw.kml" TargetMode="External"/><Relationship Id="rId503" Type="http://schemas.openxmlformats.org/officeDocument/2006/relationships/hyperlink" Target="https://map.geo.admin.ch/?zoom=13&amp;E=2609254.25&amp;N=1192171.375&amp;layers=ch.kantone.cadastralwebmap-farbe,ch.swisstopo.amtliches-strassenverzeichnis,ch.bfs.gebaeude_wohnungs_register,KML||https://tinyurl.com/yy7ya4g9/BE/0616_bdg_erw.kml" TargetMode="External"/><Relationship Id="rId587" Type="http://schemas.openxmlformats.org/officeDocument/2006/relationships/hyperlink" Target="https://map.geo.admin.ch/?zoom=13&amp;E=2585593.541&amp;N=1215404.25&amp;layers=ch.kantone.cadastralwebmap-farbe,ch.swisstopo.amtliches-strassenverzeichnis,ch.bfs.gebaeude_wohnungs_register,KML||https://tinyurl.com/yy7ya4g9/BE/0741_bdg_erw.kml" TargetMode="External"/><Relationship Id="rId710" Type="http://schemas.openxmlformats.org/officeDocument/2006/relationships/hyperlink" Target="https://map.geo.admin.ch/?zoom=13&amp;E=2608819.479&amp;N=1187331.58&amp;layers=ch.kantone.cadastralwebmap-farbe,ch.swisstopo.amtliches-strassenverzeichnis,ch.bfs.gebaeude_wohnungs_register,KML||https://tinyurl.com/yy7ya4g9/BE/0866_bdg_erw.kml" TargetMode="External"/><Relationship Id="rId808" Type="http://schemas.openxmlformats.org/officeDocument/2006/relationships/hyperlink" Target="https://map.geo.admin.ch/?zoom=13&amp;E=2604707&amp;N=1179095&amp;layers=ch.kantone.cadastralwebmap-farbe,ch.swisstopo.amtliches-strassenverzeichnis,ch.bfs.gebaeude_wohnungs_register,KML||https://tinyurl.com/yy7ya4g9/BE/0886_bdg_erw.kml" TargetMode="External"/><Relationship Id="rId8" Type="http://schemas.openxmlformats.org/officeDocument/2006/relationships/hyperlink" Target="https://map.geo.admin.ch/?zoom=13&amp;E=2586729.5&amp;N=1209890.81&amp;layers=ch.kantone.cadastralwebmap-farbe,ch.swisstopo.amtliches-strassenverzeichnis,ch.bfs.gebaeude_wohnungs_register,KML||https://tinyurl.com/yy7ya4g9/BE/0302_bdg_erw.kml" TargetMode="External"/><Relationship Id="rId142" Type="http://schemas.openxmlformats.org/officeDocument/2006/relationships/hyperlink" Target="https://map.geo.admin.ch/?zoom=13&amp;E=2601061&amp;N=1204758&amp;layers=ch.kantone.cadastralwebmap-farbe,ch.swisstopo.amtliches-strassenverzeichnis,ch.bfs.gebaeude_wohnungs_register,KML||https://tinyurl.com/yy7ya4g9/BE/0361_bdg_erw.kml" TargetMode="External"/><Relationship Id="rId447" Type="http://schemas.openxmlformats.org/officeDocument/2006/relationships/hyperlink" Target="https://map.geo.admin.ch/?zoom=13&amp;E=2647253&amp;N=1177180&amp;layers=ch.kantone.cadastralwebmap-farbe,ch.swisstopo.amtliches-strassenverzeichnis,ch.bfs.gebaeude_wohnungs_register,KML||https://tinyurl.com/yy7ya4g9/BE/0573_bdg_erw.kml" TargetMode="External"/><Relationship Id="rId794" Type="http://schemas.openxmlformats.org/officeDocument/2006/relationships/hyperlink" Target="https://map.geo.admin.ch/?zoom=13&amp;E=2607485&amp;N=1181742&amp;layers=ch.kantone.cadastralwebmap-farbe,ch.swisstopo.amtliches-strassenverzeichnis,ch.bfs.gebaeude_wohnungs_register,KML||https://tinyurl.com/yy7ya4g9/BE/0883_bdg_erw.kml" TargetMode="External"/><Relationship Id="rId1077" Type="http://schemas.openxmlformats.org/officeDocument/2006/relationships/hyperlink" Target="https://map.geo.admin.ch/?zoom=13&amp;E=2619308.25&amp;N=1235900.625&amp;layers=ch.kantone.cadastralwebmap-farbe,ch.swisstopo.amtliches-strassenverzeichnis,ch.bfs.gebaeude_wohnungs_register,KML||https://tinyurl.com/yy7ya4g9/BE/0981_bdg_erw.kml" TargetMode="External"/><Relationship Id="rId654" Type="http://schemas.openxmlformats.org/officeDocument/2006/relationships/hyperlink" Target="https://map.geo.admin.ch/?zoom=13&amp;E=2665769.766&amp;N=1174827.107&amp;layers=ch.kantone.cadastralwebmap-farbe,ch.swisstopo.amtliches-strassenverzeichnis,ch.bfs.gebaeude_wohnungs_register,KML||https://tinyurl.com/yy7ya4g9/BE/0784_bdg_erw.kml" TargetMode="External"/><Relationship Id="rId861" Type="http://schemas.openxmlformats.org/officeDocument/2006/relationships/hyperlink" Target="https://map.geo.admin.ch/?zoom=13&amp;E=2604802.677&amp;N=1185816.014&amp;layers=ch.kantone.cadastralwebmap-farbe,ch.swisstopo.amtliches-strassenverzeichnis,ch.bfs.gebaeude_wohnungs_register,KML||https://tinyurl.com/yy7ya4g9/BE/0889_bdg_erw.kml" TargetMode="External"/><Relationship Id="rId959" Type="http://schemas.openxmlformats.org/officeDocument/2006/relationships/hyperlink" Target="https://map.geo.admin.ch/?zoom=13&amp;E=2612821&amp;N=1174824&amp;layers=ch.kantone.cadastralwebmap-farbe,ch.swisstopo.amtliches-strassenverzeichnis,ch.bfs.gebaeude_wohnungs_register,KML||https://tinyurl.com/yy7ya4g9/BE/0942_bdg_erw.kml" TargetMode="External"/><Relationship Id="rId293" Type="http://schemas.openxmlformats.org/officeDocument/2006/relationships/hyperlink" Target="https://map.geo.admin.ch/?zoom=13&amp;E=2574809.982&amp;N=1229403.758&amp;layers=ch.kantone.cadastralwebmap-farbe,ch.swisstopo.amtliches-strassenverzeichnis,ch.bfs.gebaeude_wohnungs_register,KML||https://tinyurl.com/yy7ya4g9/BE/0446_bdg_erw.kml" TargetMode="External"/><Relationship Id="rId307" Type="http://schemas.openxmlformats.org/officeDocument/2006/relationships/hyperlink" Target="https://map.geo.admin.ch/?zoom=13&amp;E=2572648.5&amp;N=1208453.5&amp;layers=ch.kantone.cadastralwebmap-farbe,ch.swisstopo.amtliches-strassenverzeichnis,ch.bfs.gebaeude_wohnungs_register,KML||https://tinyurl.com/yy7ya4g9/BE/0501_bdg_erw.kml" TargetMode="External"/><Relationship Id="rId514" Type="http://schemas.openxmlformats.org/officeDocument/2006/relationships/hyperlink" Target="https://map.geo.admin.ch/?zoom=13&amp;E=2614672.263&amp;N=1184328.988&amp;layers=ch.kantone.cadastralwebmap-farbe,ch.swisstopo.amtliches-strassenverzeichnis,ch.bfs.gebaeude_wohnungs_register,KML||https://tinyurl.com/yy7ya4g9/BE/0619_bdg_erw.kml" TargetMode="External"/><Relationship Id="rId721" Type="http://schemas.openxmlformats.org/officeDocument/2006/relationships/hyperlink" Target="https://map.geo.admin.ch/?zoom=13&amp;E=2608411.25&amp;N=1185124.875&amp;layers=ch.kantone.cadastralwebmap-farbe,ch.swisstopo.amtliches-strassenverzeichnis,ch.bfs.gebaeude_wohnungs_register,KML||https://tinyurl.com/yy7ya4g9/BE/0872_bdg_erw.kml" TargetMode="External"/><Relationship Id="rId88" Type="http://schemas.openxmlformats.org/officeDocument/2006/relationships/hyperlink" Target="https://map.geo.admin.ch/?zoom=13&amp;E=2623516.818&amp;N=1229265.646&amp;layers=ch.kantone.cadastralwebmap-farbe,ch.swisstopo.amtliches-strassenverzeichnis,ch.bfs.gebaeude_wohnungs_register,KML||https://tinyurl.com/yy7ya4g9/BE/0342_bdg_erw.kml" TargetMode="External"/><Relationship Id="rId153" Type="http://schemas.openxmlformats.org/officeDocument/2006/relationships/hyperlink" Target="https://map.geo.admin.ch/?zoom=13&amp;E=2588349.033&amp;N=1223141.839&amp;layers=ch.kantone.cadastralwebmap-farbe,ch.swisstopo.amtliches-strassenverzeichnis,ch.bfs.gebaeude_wohnungs_register,KML||https://tinyurl.com/yy7ya4g9/BE/0371_bdg_erw.kml" TargetMode="External"/><Relationship Id="rId360" Type="http://schemas.openxmlformats.org/officeDocument/2006/relationships/hyperlink" Target="https://map.geo.admin.ch/?zoom=13&amp;E=2612483.75&amp;N=1152705.625&amp;layers=ch.kantone.cadastralwebmap-farbe,ch.swisstopo.amtliches-strassenverzeichnis,ch.bfs.gebaeude_wohnungs_register,KML||https://tinyurl.com/yy7ya4g9/BE/0563_bdg_erw.kml" TargetMode="External"/><Relationship Id="rId598" Type="http://schemas.openxmlformats.org/officeDocument/2006/relationships/hyperlink" Target="https://map.geo.admin.ch/?zoom=13&amp;E=2590461.319&amp;N=1222230.916&amp;layers=ch.kantone.cadastralwebmap-farbe,ch.swisstopo.amtliches-strassenverzeichnis,ch.bfs.gebaeude_wohnungs_register,KML||https://tinyurl.com/yy7ya4g9/BE/0746_bdg_erw.kml" TargetMode="External"/><Relationship Id="rId819" Type="http://schemas.openxmlformats.org/officeDocument/2006/relationships/hyperlink" Target="https://map.geo.admin.ch/?zoom=13&amp;E=2605509&amp;N=1178269&amp;layers=ch.kantone.cadastralwebmap-farbe,ch.swisstopo.amtliches-strassenverzeichnis,ch.bfs.gebaeude_wohnungs_register,KML||https://tinyurl.com/yy7ya4g9/BE/0886_bdg_erw.kml" TargetMode="External"/><Relationship Id="rId1004" Type="http://schemas.openxmlformats.org/officeDocument/2006/relationships/hyperlink" Target="https://map.geo.admin.ch/?zoom=13&amp;E=2620477.936&amp;N=1208083.097&amp;layers=ch.kantone.cadastralwebmap-farbe,ch.swisstopo.amtliches-strassenverzeichnis,ch.bfs.gebaeude_wohnungs_register,KML||https://tinyurl.com/yy7ya4g9/BE/0955_bdg_erw.kml" TargetMode="External"/><Relationship Id="rId220" Type="http://schemas.openxmlformats.org/officeDocument/2006/relationships/hyperlink" Target="https://map.geo.admin.ch/?zoom=13&amp;E=2597546&amp;N=1222795&amp;layers=ch.kantone.cadastralwebmap-farbe,ch.swisstopo.amtliches-strassenverzeichnis,ch.bfs.gebaeude_wohnungs_register,KML||https://tinyurl.com/yy7ya4g9/BE/0393_bdg_erw.kml" TargetMode="External"/><Relationship Id="rId458" Type="http://schemas.openxmlformats.org/officeDocument/2006/relationships/hyperlink" Target="https://map.geo.admin.ch/?zoom=13&amp;E=2634749&amp;N=1166377&amp;layers=ch.kantone.cadastralwebmap-farbe,ch.swisstopo.amtliches-strassenverzeichnis,ch.bfs.gebaeude_wohnungs_register,KML||https://tinyurl.com/yy7ya4g9/BE/0577_bdg_erw.kml" TargetMode="External"/><Relationship Id="rId665" Type="http://schemas.openxmlformats.org/officeDocument/2006/relationships/hyperlink" Target="https://map.geo.admin.ch/?zoom=13&amp;E=2595843.901&amp;N=1152477.989&amp;layers=ch.kantone.cadastralwebmap-farbe,ch.swisstopo.amtliches-strassenverzeichnis,ch.bfs.gebaeude_wohnungs_register,KML||https://tinyurl.com/yy7ya4g9/BE/0793_bdg_erw.kml" TargetMode="External"/><Relationship Id="rId872" Type="http://schemas.openxmlformats.org/officeDocument/2006/relationships/hyperlink" Target="https://map.geo.admin.ch/?zoom=13&amp;E=2626807&amp;N=1199058&amp;layers=ch.kantone.cadastralwebmap-farbe,ch.swisstopo.amtliches-strassenverzeichnis,ch.bfs.gebaeude_wohnungs_register,KML||https://tinyurl.com/yy7ya4g9/BE/0902_bdg_erw.kml" TargetMode="External"/><Relationship Id="rId1088" Type="http://schemas.openxmlformats.org/officeDocument/2006/relationships/hyperlink" Target="https://map.geo.admin.ch/?zoom=13&amp;E=2618771.5&amp;N=1231100.625&amp;layers=ch.kantone.cadastralwebmap-farbe,ch.swisstopo.amtliches-strassenverzeichnis,ch.bfs.gebaeude_wohnungs_register,KML||https://tinyurl.com/yy7ya4g9/BE/0991_bdg_erw.kml" TargetMode="External"/><Relationship Id="rId15" Type="http://schemas.openxmlformats.org/officeDocument/2006/relationships/hyperlink" Target="https://map.geo.admin.ch/?zoom=13&amp;E=2590089.771&amp;N=1212015.015&amp;layers=ch.kantone.cadastralwebmap-farbe,ch.swisstopo.amtliches-strassenverzeichnis,ch.bfs.gebaeude_wohnungs_register,KML||https://tinyurl.com/yy7ya4g9/BE/0306_bdg_erw.kml" TargetMode="External"/><Relationship Id="rId318" Type="http://schemas.openxmlformats.org/officeDocument/2006/relationships/hyperlink" Target="https://map.geo.admin.ch/?zoom=13&amp;E=2605130.188&amp;N=1210522.951&amp;layers=ch.kantone.cadastralwebmap-farbe,ch.swisstopo.amtliches-strassenverzeichnis,ch.bfs.gebaeude_wohnungs_register,KML||https://tinyurl.com/yy7ya4g9/BE/0540_bdg_erw.kml" TargetMode="External"/><Relationship Id="rId525" Type="http://schemas.openxmlformats.org/officeDocument/2006/relationships/hyperlink" Target="https://map.geo.admin.ch/?zoom=13&amp;E=2610724.5&amp;N=1197008.875&amp;layers=ch.kantone.cadastralwebmap-farbe,ch.swisstopo.amtliches-strassenverzeichnis,ch.bfs.gebaeude_wohnungs_register,KML||https://tinyurl.com/yy7ya4g9/BE/0627_bdg_erw.kml" TargetMode="External"/><Relationship Id="rId732" Type="http://schemas.openxmlformats.org/officeDocument/2006/relationships/hyperlink" Target="https://map.geo.admin.ch/?zoom=13&amp;E=2605969&amp;N=1188959&amp;layers=ch.kantone.cadastralwebmap-farbe,ch.swisstopo.amtliches-strassenverzeichnis,ch.bfs.gebaeude_wohnungs_register,KML||https://tinyurl.com/yy7ya4g9/BE/0872_bdg_erw.kml" TargetMode="External"/><Relationship Id="rId99" Type="http://schemas.openxmlformats.org/officeDocument/2006/relationships/hyperlink" Target="https://map.geo.admin.ch/?zoom=13&amp;E=2600414.5&amp;N=1199631.41&amp;layers=ch.kantone.cadastralwebmap-farbe,ch.swisstopo.amtliches-strassenverzeichnis,ch.bfs.gebaeude_wohnungs_register,KML||https://tinyurl.com/yy7ya4g9/BE/0351_bdg_erw.kml" TargetMode="External"/><Relationship Id="rId164" Type="http://schemas.openxmlformats.org/officeDocument/2006/relationships/hyperlink" Target="https://map.geo.admin.ch/?zoom=13&amp;E=2584442.2&amp;N=1220354.649&amp;layers=ch.kantone.cadastralwebmap-farbe,ch.swisstopo.amtliches-strassenverzeichnis,ch.bfs.gebaeude_wohnungs_register,KML||https://tinyurl.com/yy7ya4g9/BE/0371_bdg_erw.kml" TargetMode="External"/><Relationship Id="rId371" Type="http://schemas.openxmlformats.org/officeDocument/2006/relationships/hyperlink" Target="https://map.geo.admin.ch/?zoom=13&amp;E=2612592.5&amp;N=1154133.75&amp;layers=ch.kantone.cadastralwebmap-farbe,ch.swisstopo.amtliches-strassenverzeichnis,ch.bfs.gebaeude_wohnungs_register,KML||https://tinyurl.com/yy7ya4g9/BE/0563_bdg_erw.kml" TargetMode="External"/><Relationship Id="rId1015" Type="http://schemas.openxmlformats.org/officeDocument/2006/relationships/hyperlink" Target="https://map.geo.admin.ch/?zoom=13&amp;E=2617887&amp;N=1208521.125&amp;layers=ch.kantone.cadastralwebmap-farbe,ch.swisstopo.amtliches-strassenverzeichnis,ch.bfs.gebaeude_wohnungs_register,KML||https://tinyurl.com/yy7ya4g9/BE/0956_bdg_erw.kml" TargetMode="External"/><Relationship Id="rId469" Type="http://schemas.openxmlformats.org/officeDocument/2006/relationships/hyperlink" Target="https://map.geo.admin.ch/?zoom=13&amp;E=2633666&amp;N=1169101&amp;layers=ch.kantone.cadastralwebmap-farbe,ch.swisstopo.amtliches-strassenverzeichnis,ch.bfs.gebaeude_wohnungs_register,KML||https://tinyurl.com/yy7ya4g9/BE/0587_bdg_erw.kml" TargetMode="External"/><Relationship Id="rId676" Type="http://schemas.openxmlformats.org/officeDocument/2006/relationships/hyperlink" Target="https://map.geo.admin.ch/?zoom=13&amp;E=2589374&amp;N=1150416&amp;layers=ch.kantone.cadastralwebmap-farbe,ch.swisstopo.amtliches-strassenverzeichnis,ch.bfs.gebaeude_wohnungs_register,KML||https://tinyurl.com/yy7ya4g9/BE/0843_bdg_erw.kml" TargetMode="External"/><Relationship Id="rId883" Type="http://schemas.openxmlformats.org/officeDocument/2006/relationships/hyperlink" Target="https://map.geo.admin.ch/?zoom=13&amp;E=2630621&amp;N=1196933&amp;layers=ch.kantone.cadastralwebmap-farbe,ch.swisstopo.amtliches-strassenverzeichnis,ch.bfs.gebaeude_wohnungs_register,KML||https://tinyurl.com/yy7ya4g9/BE/0909_bdg_erw.kml" TargetMode="External"/><Relationship Id="rId1099" Type="http://schemas.openxmlformats.org/officeDocument/2006/relationships/hyperlink" Target="https://map.geo.admin.ch/?zoom=13&amp;E=2619094.75&amp;N=1231197.625&amp;layers=ch.kantone.cadastralwebmap-farbe,ch.swisstopo.amtliches-strassenverzeichnis,ch.bfs.gebaeude_wohnungs_register,KML||https://tinyurl.com/yy7ya4g9/BE/0991_bdg_erw.kml" TargetMode="External"/><Relationship Id="rId26" Type="http://schemas.openxmlformats.org/officeDocument/2006/relationships/hyperlink" Target="https://map.geo.admin.ch/?zoom=13&amp;E=2589459&amp;N=1213547&amp;layers=ch.kantone.cadastralwebmap-farbe,ch.swisstopo.amtliches-strassenverzeichnis,ch.bfs.gebaeude_wohnungs_register,KML||https://tinyurl.com/yy7ya4g9/BE/0306_bdg_erw.kml" TargetMode="External"/><Relationship Id="rId231" Type="http://schemas.openxmlformats.org/officeDocument/2006/relationships/hyperlink" Target="https://map.geo.admin.ch/?zoom=13&amp;E=2613211.25&amp;N=1212881.375&amp;layers=ch.kantone.cadastralwebmap-farbe,ch.swisstopo.amtliches-strassenverzeichnis,ch.bfs.gebaeude_wohnungs_register,KML||https://tinyurl.com/yy7ya4g9/BE/0404_bdg_erw.kml" TargetMode="External"/><Relationship Id="rId329" Type="http://schemas.openxmlformats.org/officeDocument/2006/relationships/hyperlink" Target="https://map.geo.admin.ch/?zoom=13&amp;E=2608532&amp;N=1218983&amp;layers=ch.kantone.cadastralwebmap-farbe,ch.swisstopo.amtliches-strassenverzeichnis,ch.bfs.gebaeude_wohnungs_register,KML||https://tinyurl.com/yy7ya4g9/BE/0552_bdg_erw.kml" TargetMode="External"/><Relationship Id="rId536" Type="http://schemas.openxmlformats.org/officeDocument/2006/relationships/hyperlink" Target="https://map.geo.admin.ch/?zoom=13&amp;E=2609734&amp;N=1186478&amp;layers=ch.kantone.cadastralwebmap-farbe,ch.swisstopo.amtliches-strassenverzeichnis,ch.bfs.gebaeude_wohnungs_register,KML||https://tinyurl.com/yy7ya4g9/BE/0632_bdg_erw.kml" TargetMode="External"/><Relationship Id="rId175" Type="http://schemas.openxmlformats.org/officeDocument/2006/relationships/hyperlink" Target="https://map.geo.admin.ch/?zoom=13&amp;E=2588302.242&amp;N=1223076.158&amp;layers=ch.kantone.cadastralwebmap-farbe,ch.swisstopo.amtliches-strassenverzeichnis,ch.bfs.gebaeude_wohnungs_register,KML||https://tinyurl.com/yy7ya4g9/BE/0371_bdg_erw.kml" TargetMode="External"/><Relationship Id="rId743" Type="http://schemas.openxmlformats.org/officeDocument/2006/relationships/hyperlink" Target="https://map.geo.admin.ch/?zoom=13&amp;E=2603049.25&amp;N=1189040.875&amp;layers=ch.kantone.cadastralwebmap-farbe,ch.swisstopo.amtliches-strassenverzeichnis,ch.bfs.gebaeude_wohnungs_register,KML||https://tinyurl.com/yy7ya4g9/BE/0877_bdg_erw.kml" TargetMode="External"/><Relationship Id="rId950" Type="http://schemas.openxmlformats.org/officeDocument/2006/relationships/hyperlink" Target="https://map.geo.admin.ch/?zoom=13&amp;E=2615640.67&amp;N=1181825.483&amp;layers=ch.kantone.cadastralwebmap-farbe,ch.swisstopo.amtliches-strassenverzeichnis,ch.bfs.gebaeude_wohnungs_register,KML||https://tinyurl.com/yy7ya4g9/BE/0939_bdg_erw.kml" TargetMode="External"/><Relationship Id="rId1026" Type="http://schemas.openxmlformats.org/officeDocument/2006/relationships/hyperlink" Target="https://map.geo.admin.ch/?zoom=13&amp;E=2623371.102&amp;N=1209476.998&amp;layers=ch.kantone.cadastralwebmap-farbe,ch.swisstopo.amtliches-strassenverzeichnis,ch.bfs.gebaeude_wohnungs_register,KML||https://tinyurl.com/yy7ya4g9/BE/0957_bdg_erw.kml" TargetMode="External"/><Relationship Id="rId382" Type="http://schemas.openxmlformats.org/officeDocument/2006/relationships/hyperlink" Target="https://map.geo.admin.ch/?zoom=13&amp;E=2610537.5&amp;N=1152787.875&amp;layers=ch.kantone.cadastralwebmap-farbe,ch.swisstopo.amtliches-strassenverzeichnis,ch.bfs.gebaeude_wohnungs_register,KML||https://tinyurl.com/yy7ya4g9/BE/0563_bdg_erw.kml" TargetMode="External"/><Relationship Id="rId603" Type="http://schemas.openxmlformats.org/officeDocument/2006/relationships/hyperlink" Target="https://map.geo.admin.ch/?zoom=13&amp;E=2589733.757&amp;N=1219126.455&amp;layers=ch.kantone.cadastralwebmap-farbe,ch.swisstopo.amtliches-strassenverzeichnis,ch.bfs.gebaeude_wohnungs_register,KML||https://tinyurl.com/yy7ya4g9/BE/0748_bdg_erw.kml" TargetMode="External"/><Relationship Id="rId687" Type="http://schemas.openxmlformats.org/officeDocument/2006/relationships/hyperlink" Target="https://map.geo.admin.ch/?zoom=13&amp;E=2594625.994&amp;N=1180293.749&amp;layers=ch.kantone.cadastralwebmap-farbe,ch.swisstopo.amtliches-strassenverzeichnis,ch.bfs.gebaeude_wohnungs_register,KML||https://tinyurl.com/yy7ya4g9/BE/0853_bdg_erw.kml" TargetMode="External"/><Relationship Id="rId810" Type="http://schemas.openxmlformats.org/officeDocument/2006/relationships/hyperlink" Target="https://map.geo.admin.ch/?zoom=13&amp;E=2604887&amp;N=1178992&amp;layers=ch.kantone.cadastralwebmap-farbe,ch.swisstopo.amtliches-strassenverzeichnis,ch.bfs.gebaeude_wohnungs_register,KML||https://tinyurl.com/yy7ya4g9/BE/0886_bdg_erw.kml" TargetMode="External"/><Relationship Id="rId908" Type="http://schemas.openxmlformats.org/officeDocument/2006/relationships/hyperlink" Target="https://map.geo.admin.ch/?zoom=13&amp;E=2616416&amp;N=1177014&amp;layers=ch.kantone.cadastralwebmap-farbe,ch.swisstopo.amtliches-strassenverzeichnis,ch.bfs.gebaeude_wohnungs_register,KML||https://tinyurl.com/yy7ya4g9/BE/0929_bdg_erw.kml" TargetMode="External"/><Relationship Id="rId242" Type="http://schemas.openxmlformats.org/officeDocument/2006/relationships/hyperlink" Target="https://map.geo.admin.ch/?zoom=13&amp;E=2614621.051&amp;N=1209499.323&amp;layers=ch.kantone.cadastralwebmap-farbe,ch.swisstopo.amtliches-strassenverzeichnis,ch.bfs.gebaeude_wohnungs_register,KML||https://tinyurl.com/yy7ya4g9/BE/0404_bdg_erw.kml" TargetMode="External"/><Relationship Id="rId894" Type="http://schemas.openxmlformats.org/officeDocument/2006/relationships/hyperlink" Target="https://map.geo.admin.ch/?zoom=13&amp;E=2619607.875&amp;N=1186337.5&amp;layers=ch.kantone.cadastralwebmap-farbe,ch.swisstopo.amtliches-strassenverzeichnis,ch.bfs.gebaeude_wohnungs_register,KML||https://tinyurl.com/yy7ya4g9/BE/0923_bdg_erw.kml" TargetMode="External"/><Relationship Id="rId37" Type="http://schemas.openxmlformats.org/officeDocument/2006/relationships/hyperlink" Target="https://map.geo.admin.ch/?zoom=13&amp;E=2599108&amp;N=1215163&amp;layers=ch.kantone.cadastralwebmap-farbe,ch.swisstopo.amtliches-strassenverzeichnis,ch.bfs.gebaeude_wohnungs_register,KML||https://tinyurl.com/yy7ya4g9/BE/0310_bdg_erw.kml" TargetMode="External"/><Relationship Id="rId102" Type="http://schemas.openxmlformats.org/officeDocument/2006/relationships/hyperlink" Target="https://map.geo.admin.ch/?zoom=13&amp;E=2598000.26&amp;N=1199520.26&amp;layers=ch.kantone.cadastralwebmap-farbe,ch.swisstopo.amtliches-strassenverzeichnis,ch.bfs.gebaeude_wohnungs_register,KML||https://tinyurl.com/yy7ya4g9/BE/0351_bdg_erw.kml" TargetMode="External"/><Relationship Id="rId547" Type="http://schemas.openxmlformats.org/officeDocument/2006/relationships/hyperlink" Target="https://map.geo.admin.ch/?zoom=13&amp;E=2582655&amp;N=1201131&amp;layers=ch.kantone.cadastralwebmap-farbe,ch.swisstopo.amtliches-strassenverzeichnis,ch.bfs.gebaeude_wohnungs_register,KML||https://tinyurl.com/yy7ya4g9/BE/0665_bdg_erw.kml" TargetMode="External"/><Relationship Id="rId754" Type="http://schemas.openxmlformats.org/officeDocument/2006/relationships/hyperlink" Target="https://map.geo.admin.ch/?zoom=13&amp;E=2602168.5&amp;N=1189837.125&amp;layers=ch.kantone.cadastralwebmap-farbe,ch.swisstopo.amtliches-strassenverzeichnis,ch.bfs.gebaeude_wohnungs_register,KML||https://tinyurl.com/yy7ya4g9/BE/0877_bdg_erw.kml" TargetMode="External"/><Relationship Id="rId961" Type="http://schemas.openxmlformats.org/officeDocument/2006/relationships/hyperlink" Target="https://map.geo.admin.ch/?zoom=13&amp;E=2612785&amp;N=1174844&amp;layers=ch.kantone.cadastralwebmap-farbe,ch.swisstopo.amtliches-strassenverzeichnis,ch.bfs.gebaeude_wohnungs_register,KML||https://tinyurl.com/yy7ya4g9/BE/0942_bdg_erw.kml" TargetMode="External"/><Relationship Id="rId90" Type="http://schemas.openxmlformats.org/officeDocument/2006/relationships/hyperlink" Target="https://map.geo.admin.ch/?zoom=13&amp;E=2623296.466&amp;N=1229685.644&amp;layers=ch.kantone.cadastralwebmap-farbe,ch.swisstopo.amtliches-strassenverzeichnis,ch.bfs.gebaeude_wohnungs_register,KML||https://tinyurl.com/yy7ya4g9/BE/0342_bdg_erw.kml" TargetMode="External"/><Relationship Id="rId186" Type="http://schemas.openxmlformats.org/officeDocument/2006/relationships/hyperlink" Target="https://map.geo.admin.ch/?zoom=13&amp;E=2585183.348&amp;N=1220955.055&amp;layers=ch.kantone.cadastralwebmap-farbe,ch.swisstopo.amtliches-strassenverzeichnis,ch.bfs.gebaeude_wohnungs_register,KML||https://tinyurl.com/yy7ya4g9/BE/0371_bdg_erw.kml" TargetMode="External"/><Relationship Id="rId393" Type="http://schemas.openxmlformats.org/officeDocument/2006/relationships/hyperlink" Target="https://map.geo.admin.ch/?zoom=13&amp;E=2621528.99&amp;N=1159301&amp;layers=ch.kantone.cadastralwebmap-farbe,ch.swisstopo.amtliches-strassenverzeichnis,ch.bfs.gebaeude_wohnungs_register,KML||https://tinyurl.com/yy7ya4g9/BE/0567_bdg_erw.kml" TargetMode="External"/><Relationship Id="rId407" Type="http://schemas.openxmlformats.org/officeDocument/2006/relationships/hyperlink" Target="https://map.geo.admin.ch/?zoom=13&amp;E=2624355&amp;N=1156169&amp;layers=ch.kantone.cadastralwebmap-farbe,ch.swisstopo.amtliches-strassenverzeichnis,ch.bfs.gebaeude_wohnungs_register,KML||https://tinyurl.com/yy7ya4g9/BE/0567_bdg_erw.kml" TargetMode="External"/><Relationship Id="rId614" Type="http://schemas.openxmlformats.org/officeDocument/2006/relationships/hyperlink" Target="https://map.geo.admin.ch/?zoom=13&amp;E=2583959.541&amp;N=1212162.229&amp;layers=ch.kantone.cadastralwebmap-farbe,ch.swisstopo.amtliches-strassenverzeichnis,ch.bfs.gebaeude_wohnungs_register,KML||https://tinyurl.com/yy7ya4g9/BE/0754_bdg_erw.kml" TargetMode="External"/><Relationship Id="rId821" Type="http://schemas.openxmlformats.org/officeDocument/2006/relationships/hyperlink" Target="https://map.geo.admin.ch/?zoom=13&amp;E=2605153&amp;N=1178189&amp;layers=ch.kantone.cadastralwebmap-farbe,ch.swisstopo.amtliches-strassenverzeichnis,ch.bfs.gebaeude_wohnungs_register,KML||https://tinyurl.com/yy7ya4g9/BE/0886_bdg_erw.kml" TargetMode="External"/><Relationship Id="rId1037" Type="http://schemas.openxmlformats.org/officeDocument/2006/relationships/hyperlink" Target="https://map.geo.admin.ch/?zoom=13&amp;E=2625617.455&amp;N=1216423.79&amp;layers=ch.kantone.cadastralwebmap-farbe,ch.swisstopo.amtliches-strassenverzeichnis,ch.bfs.gebaeude_wohnungs_register,KML||https://tinyurl.com/yy7ya4g9/BE/0959_bdg_erw.kml" TargetMode="External"/><Relationship Id="rId253" Type="http://schemas.openxmlformats.org/officeDocument/2006/relationships/hyperlink" Target="https://map.geo.admin.ch/?zoom=13&amp;E=2607589.394&amp;N=1210012.781&amp;layers=ch.kantone.cadastralwebmap-farbe,ch.swisstopo.amtliches-strassenverzeichnis,ch.bfs.gebaeude_wohnungs_register,KML||https://tinyurl.com/yy7ya4g9/BE/0409_bdg_erw.kml" TargetMode="External"/><Relationship Id="rId460" Type="http://schemas.openxmlformats.org/officeDocument/2006/relationships/hyperlink" Target="https://map.geo.admin.ch/?zoom=13&amp;E=2633563.278&amp;N=1171013.476&amp;layers=ch.kantone.cadastralwebmap-farbe,ch.swisstopo.amtliches-strassenverzeichnis,ch.bfs.gebaeude_wohnungs_register,KML||https://tinyurl.com/yy7ya4g9/BE/0581_bdg_erw.kml" TargetMode="External"/><Relationship Id="rId698" Type="http://schemas.openxmlformats.org/officeDocument/2006/relationships/hyperlink" Target="https://map.geo.admin.ch/?zoom=13&amp;E=2591725.923&amp;N=1184558.326&amp;layers=ch.kantone.cadastralwebmap-farbe,ch.swisstopo.amtliches-strassenverzeichnis,ch.bfs.gebaeude_wohnungs_register,KML||https://tinyurl.com/yy7ya4g9/BE/0855_bdg_erw.kml" TargetMode="External"/><Relationship Id="rId919" Type="http://schemas.openxmlformats.org/officeDocument/2006/relationships/hyperlink" Target="https://map.geo.admin.ch/?zoom=13&amp;E=2622120&amp;N=1176617&amp;layers=ch.kantone.cadastralwebmap-farbe,ch.swisstopo.amtliches-strassenverzeichnis,ch.bfs.gebaeude_wohnungs_register,KML||https://tinyurl.com/yy7ya4g9/BE/0938_bdg_erw.kml" TargetMode="External"/><Relationship Id="rId1090" Type="http://schemas.openxmlformats.org/officeDocument/2006/relationships/hyperlink" Target="https://map.geo.admin.ch/?zoom=13&amp;E=2618538.25&amp;N=1231286.875&amp;layers=ch.kantone.cadastralwebmap-farbe,ch.swisstopo.amtliches-strassenverzeichnis,ch.bfs.gebaeude_wohnungs_register,KML||https://tinyurl.com/yy7ya4g9/BE/0991_bdg_erw.kml" TargetMode="External"/><Relationship Id="rId1104" Type="http://schemas.openxmlformats.org/officeDocument/2006/relationships/hyperlink" Target="https://map.geo.admin.ch/?zoom=13&amp;E=2618683.75&amp;N=1231141.375&amp;layers=ch.kantone.cadastralwebmap-farbe,ch.swisstopo.amtliches-strassenverzeichnis,ch.bfs.gebaeude_wohnungs_register,KML||https://tinyurl.com/yy7ya4g9/BE/0991_bdg_erw.kml" TargetMode="External"/><Relationship Id="rId48" Type="http://schemas.openxmlformats.org/officeDocument/2006/relationships/hyperlink" Target="https://map.geo.admin.ch/?zoom=13&amp;E=2621934.032&amp;N=1231973.4&amp;layers=ch.kantone.cadastralwebmap-farbe,ch.swisstopo.amtliches-strassenverzeichnis,ch.bfs.gebaeude_wohnungs_register,KML||https://tinyurl.com/yy7ya4g9/BE/0323_bdg_erw.kml" TargetMode="External"/><Relationship Id="rId113" Type="http://schemas.openxmlformats.org/officeDocument/2006/relationships/hyperlink" Target="https://map.geo.admin.ch/?zoom=13&amp;E=2604627.976&amp;N=1202639.584&amp;layers=ch.kantone.cadastralwebmap-farbe,ch.swisstopo.amtliches-strassenverzeichnis,ch.bfs.gebaeude_wohnungs_register,KML||https://tinyurl.com/yy7ya4g9/BE/0352_bdg_erw.kml" TargetMode="External"/><Relationship Id="rId320" Type="http://schemas.openxmlformats.org/officeDocument/2006/relationships/hyperlink" Target="https://map.geo.admin.ch/?zoom=13&amp;E=2602905.568&amp;N=1212228.092&amp;layers=ch.kantone.cadastralwebmap-farbe,ch.swisstopo.amtliches-strassenverzeichnis,ch.bfs.gebaeude_wohnungs_register,KML||https://tinyurl.com/yy7ya4g9/BE/0541_bdg_erw.kml" TargetMode="External"/><Relationship Id="rId558" Type="http://schemas.openxmlformats.org/officeDocument/2006/relationships/hyperlink" Target="https://map.geo.admin.ch/?zoom=13&amp;E=2584553.225&amp;N=1232302.349&amp;layers=ch.kantone.cadastralwebmap-farbe,ch.swisstopo.amtliches-strassenverzeichnis,ch.bfs.gebaeude_wohnungs_register,KML||https://tinyurl.com/yy7ya4g9/BE/0696_bdg_erw.kml" TargetMode="External"/><Relationship Id="rId765" Type="http://schemas.openxmlformats.org/officeDocument/2006/relationships/hyperlink" Target="https://map.geo.admin.ch/?zoom=13&amp;E=2600912&amp;N=1190316.375&amp;layers=ch.kantone.cadastralwebmap-farbe,ch.swisstopo.amtliches-strassenverzeichnis,ch.bfs.gebaeude_wohnungs_register,KML||https://tinyurl.com/yy7ya4g9/BE/0877_bdg_erw.kml" TargetMode="External"/><Relationship Id="rId972" Type="http://schemas.openxmlformats.org/officeDocument/2006/relationships/hyperlink" Target="https://map.geo.admin.ch/?zoom=13&amp;E=2610907&amp;N=1180688&amp;layers=ch.kantone.cadastralwebmap-farbe,ch.swisstopo.amtliches-strassenverzeichnis,ch.bfs.gebaeude_wohnungs_register,KML||https://tinyurl.com/yy7ya4g9/BE/0944_bdg_erw.kml" TargetMode="External"/><Relationship Id="rId197" Type="http://schemas.openxmlformats.org/officeDocument/2006/relationships/hyperlink" Target="https://map.geo.admin.ch/?zoom=13&amp;E=2592844&amp;N=1218372&amp;layers=ch.kantone.cadastralwebmap-farbe,ch.swisstopo.amtliches-strassenverzeichnis,ch.bfs.gebaeude_wohnungs_register,KML||https://tinyurl.com/yy7ya4g9/BE/0386_bdg_erw.kml" TargetMode="External"/><Relationship Id="rId418" Type="http://schemas.openxmlformats.org/officeDocument/2006/relationships/hyperlink" Target="https://map.geo.admin.ch/?zoom=13&amp;E=2621482&amp;N=1159148&amp;layers=ch.kantone.cadastralwebmap-farbe,ch.swisstopo.amtliches-strassenverzeichnis,ch.bfs.gebaeude_wohnungs_register,KML||https://tinyurl.com/yy7ya4g9/BE/0567_bdg_erw.kml" TargetMode="External"/><Relationship Id="rId625" Type="http://schemas.openxmlformats.org/officeDocument/2006/relationships/hyperlink" Target="https://map.geo.admin.ch/?zoom=13&amp;E=2604124.72&amp;N=1157696.93&amp;layers=ch.kantone.cadastralwebmap-farbe,ch.swisstopo.amtliches-strassenverzeichnis,ch.bfs.gebaeude_wohnungs_register,KML||https://tinyurl.com/yy7ya4g9/BE/0762_bdg_erw.kml" TargetMode="External"/><Relationship Id="rId832" Type="http://schemas.openxmlformats.org/officeDocument/2006/relationships/hyperlink" Target="https://map.geo.admin.ch/?zoom=13&amp;E=2604866&amp;N=1179404&amp;layers=ch.kantone.cadastralwebmap-farbe,ch.swisstopo.amtliches-strassenverzeichnis,ch.bfs.gebaeude_wohnungs_register,KML||https://tinyurl.com/yy7ya4g9/BE/0886_bdg_erw.kml" TargetMode="External"/><Relationship Id="rId1048" Type="http://schemas.openxmlformats.org/officeDocument/2006/relationships/hyperlink" Target="https://map.geo.admin.ch/?zoom=13&amp;E=2625967.778&amp;N=1218246.918&amp;layers=ch.kantone.cadastralwebmap-farbe,ch.swisstopo.amtliches-strassenverzeichnis,ch.bfs.gebaeude_wohnungs_register,KML||https://tinyurl.com/yy7ya4g9/BE/0959_bdg_erw.kml" TargetMode="External"/><Relationship Id="rId264" Type="http://schemas.openxmlformats.org/officeDocument/2006/relationships/hyperlink" Target="https://map.geo.admin.ch/?zoom=13&amp;E=2613260.407&amp;N=1209169.068&amp;layers=ch.kantone.cadastralwebmap-farbe,ch.swisstopo.amtliches-strassenverzeichnis,ch.bfs.gebaeude_wohnungs_register,KML||https://tinyurl.com/yy7ya4g9/BE/0418_bdg_erw.kml" TargetMode="External"/><Relationship Id="rId471" Type="http://schemas.openxmlformats.org/officeDocument/2006/relationships/hyperlink" Target="https://map.geo.admin.ch/?zoom=13&amp;E=2633064&amp;N=1169814&amp;layers=ch.kantone.cadastralwebmap-farbe,ch.swisstopo.amtliches-strassenverzeichnis,ch.bfs.gebaeude_wohnungs_register,KML||https://tinyurl.com/yy7ya4g9/BE/0587_bdg_erw.kml" TargetMode="External"/><Relationship Id="rId1115" Type="http://schemas.openxmlformats.org/officeDocument/2006/relationships/hyperlink" Target="https://map.geo.admin.ch/?zoom=13&amp;E=2618138&amp;N=1231104.375&amp;layers=ch.kantone.cadastralwebmap-farbe,ch.swisstopo.amtliches-strassenverzeichnis,ch.bfs.gebaeude_wohnungs_register,KML||https://tinyurl.com/yy7ya4g9/BE/0991_bdg_erw.kml" TargetMode="External"/><Relationship Id="rId59" Type="http://schemas.openxmlformats.org/officeDocument/2006/relationships/hyperlink" Target="https://map.geo.admin.ch/?zoom=13&amp;E=2626415.072&amp;N=1226710.893&amp;layers=ch.kantone.cadastralwebmap-farbe,ch.swisstopo.amtliches-strassenverzeichnis,ch.bfs.gebaeude_wohnungs_register,KML||https://tinyurl.com/yy7ya4g9/BE/0331_bdg_erw.kml" TargetMode="External"/><Relationship Id="rId124" Type="http://schemas.openxmlformats.org/officeDocument/2006/relationships/hyperlink" Target="https://map.geo.admin.ch/?zoom=13&amp;E=2604540.412&amp;N=1198856.72&amp;layers=ch.kantone.cadastralwebmap-farbe,ch.swisstopo.amtliches-strassenverzeichnis,ch.bfs.gebaeude_wohnungs_register,KML||https://tinyurl.com/yy7ya4g9/BE/0356_bdg_erw.kml" TargetMode="External"/><Relationship Id="rId569" Type="http://schemas.openxmlformats.org/officeDocument/2006/relationships/hyperlink" Target="https://map.geo.admin.ch/?zoom=13&amp;E=2580629.736&amp;N=1219378.821&amp;layers=ch.kantone.cadastralwebmap-farbe,ch.swisstopo.amtliches-strassenverzeichnis,ch.bfs.gebaeude_wohnungs_register,KML||https://tinyurl.com/yy7ya4g9/BE/0726_bdg_erw.kml" TargetMode="External"/><Relationship Id="rId776" Type="http://schemas.openxmlformats.org/officeDocument/2006/relationships/hyperlink" Target="https://map.geo.admin.ch/?zoom=13&amp;E=2603182&amp;N=1184541&amp;layers=ch.kantone.cadastralwebmap-farbe,ch.swisstopo.amtliches-strassenverzeichnis,ch.bfs.gebaeude_wohnungs_register,KML||https://tinyurl.com/yy7ya4g9/BE/0879_bdg_erw.kml" TargetMode="External"/><Relationship Id="rId983" Type="http://schemas.openxmlformats.org/officeDocument/2006/relationships/hyperlink" Target="https://map.geo.admin.ch/?zoom=13&amp;E=2606300&amp;N=1179200&amp;layers=ch.kantone.cadastralwebmap-farbe,ch.swisstopo.amtliches-strassenverzeichnis,ch.bfs.gebaeude_wohnungs_register,KML||https://tinyurl.com/yy7ya4g9/BE/0948_bdg_erw.kml" TargetMode="External"/><Relationship Id="rId331" Type="http://schemas.openxmlformats.org/officeDocument/2006/relationships/hyperlink" Target="https://map.geo.admin.ch/?zoom=13&amp;E=2620301&amp;N=1166670&amp;layers=ch.kantone.cadastralwebmap-farbe,ch.swisstopo.amtliches-strassenverzeichnis,ch.bfs.gebaeude_wohnungs_register,KML||https://tinyurl.com/yy7ya4g9/BE/0562_bdg_erw.kml" TargetMode="External"/><Relationship Id="rId429" Type="http://schemas.openxmlformats.org/officeDocument/2006/relationships/hyperlink" Target="https://map.geo.admin.ch/?zoom=13&amp;E=2624680&amp;N=1155211&amp;layers=ch.kantone.cadastralwebmap-farbe,ch.swisstopo.amtliches-strassenverzeichnis,ch.bfs.gebaeude_wohnungs_register,KML||https://tinyurl.com/yy7ya4g9/BE/0567_bdg_erw.kml" TargetMode="External"/><Relationship Id="rId636" Type="http://schemas.openxmlformats.org/officeDocument/2006/relationships/hyperlink" Target="https://map.geo.admin.ch/?zoom=13&amp;E=2612029.924&amp;N=1166389.808&amp;layers=ch.kantone.cadastralwebmap-farbe,ch.swisstopo.amtliches-strassenverzeichnis,ch.bfs.gebaeude_wohnungs_register,KML||https://tinyurl.com/yy7ya4g9/BE/0762_bdg_erw.kml" TargetMode="External"/><Relationship Id="rId1059" Type="http://schemas.openxmlformats.org/officeDocument/2006/relationships/hyperlink" Target="https://map.geo.admin.ch/?zoom=13&amp;E=2625950.833&amp;N=1217842.299&amp;layers=ch.kantone.cadastralwebmap-farbe,ch.swisstopo.amtliches-strassenverzeichnis,ch.bfs.gebaeude_wohnungs_register,KML||https://tinyurl.com/yy7ya4g9/BE/0959_bdg_erw.kml" TargetMode="External"/><Relationship Id="rId843" Type="http://schemas.openxmlformats.org/officeDocument/2006/relationships/hyperlink" Target="https://map.geo.admin.ch/?zoom=13&amp;E=2605618&amp;N=1178474&amp;layers=ch.kantone.cadastralwebmap-farbe,ch.swisstopo.amtliches-strassenverzeichnis,ch.bfs.gebaeude_wohnungs_register,KML||https://tinyurl.com/yy7ya4g9/BE/0886_bdg_erw.kml" TargetMode="External"/><Relationship Id="rId1126" Type="http://schemas.openxmlformats.org/officeDocument/2006/relationships/hyperlink" Target="https://map.geo.admin.ch/?zoom=13&amp;E=2617801&amp;N=1231025.125&amp;layers=ch.kantone.cadastralwebmap-farbe,ch.swisstopo.amtliches-strassenverzeichnis,ch.bfs.gebaeude_wohnungs_register,KML||https://tinyurl.com/yy7ya4g9/BE/0991_bdg_erw.kml" TargetMode="External"/><Relationship Id="rId275" Type="http://schemas.openxmlformats.org/officeDocument/2006/relationships/hyperlink" Target="https://map.geo.admin.ch/?zoom=13&amp;E=2610441.5&amp;N=1214857.5&amp;layers=ch.kantone.cadastralwebmap-farbe,ch.swisstopo.amtliches-strassenverzeichnis,ch.bfs.gebaeude_wohnungs_register,KML||https://tinyurl.com/yy7ya4g9/BE/0420_bdg_erw.kml" TargetMode="External"/><Relationship Id="rId482" Type="http://schemas.openxmlformats.org/officeDocument/2006/relationships/hyperlink" Target="https://map.geo.admin.ch/?zoom=13&amp;E=2630660&amp;N=1170459&amp;layers=ch.kantone.cadastralwebmap-farbe,ch.swisstopo.amtliches-strassenverzeichnis,ch.bfs.gebaeude_wohnungs_register,KML||https://tinyurl.com/yy7ya4g9/BE/0593_bdg_erw.kml" TargetMode="External"/><Relationship Id="rId703" Type="http://schemas.openxmlformats.org/officeDocument/2006/relationships/hyperlink" Target="https://map.geo.admin.ch/?zoom=13&amp;E=2605764.115&amp;N=1182241.566&amp;layers=ch.kantone.cadastralwebmap-farbe,ch.swisstopo.amtliches-strassenverzeichnis,ch.bfs.gebaeude_wohnungs_register,KML||https://tinyurl.com/yy7ya4g9/BE/0863_bdg_erw.kml" TargetMode="External"/><Relationship Id="rId910" Type="http://schemas.openxmlformats.org/officeDocument/2006/relationships/hyperlink" Target="https://map.geo.admin.ch/?zoom=13&amp;E=2616179&amp;N=1177344&amp;layers=ch.kantone.cadastralwebmap-farbe,ch.swisstopo.amtliches-strassenverzeichnis,ch.bfs.gebaeude_wohnungs_register,KML||https://tinyurl.com/yy7ya4g9/BE/0929_bdg_erw.kml" TargetMode="External"/><Relationship Id="rId135" Type="http://schemas.openxmlformats.org/officeDocument/2006/relationships/hyperlink" Target="https://map.geo.admin.ch/?zoom=13&amp;E=2592830&amp;N=1202675&amp;layers=ch.kantone.cadastralwebmap-farbe,ch.swisstopo.amtliches-strassenverzeichnis,ch.bfs.gebaeude_wohnungs_register,KML||https://tinyurl.com/yy7ya4g9/BE/0360_bdg_erw.kml" TargetMode="External"/><Relationship Id="rId342" Type="http://schemas.openxmlformats.org/officeDocument/2006/relationships/hyperlink" Target="https://map.geo.admin.ch/?zoom=13&amp;E=2615939&amp;N=1158716&amp;layers=ch.kantone.cadastralwebmap-farbe,ch.swisstopo.amtliches-strassenverzeichnis,ch.bfs.gebaeude_wohnungs_register,KML||https://tinyurl.com/yy7ya4g9/BE/0563_bdg_erw.kml" TargetMode="External"/><Relationship Id="rId787" Type="http://schemas.openxmlformats.org/officeDocument/2006/relationships/hyperlink" Target="https://map.geo.admin.ch/?zoom=13&amp;E=2597042.029&amp;N=1188427.021&amp;layers=ch.kantone.cadastralwebmap-farbe,ch.swisstopo.amtliches-strassenverzeichnis,ch.bfs.gebaeude_wohnungs_register,KML||https://tinyurl.com/yy7ya4g9/BE/0880_bdg_erw.kml" TargetMode="External"/><Relationship Id="rId994" Type="http://schemas.openxmlformats.org/officeDocument/2006/relationships/hyperlink" Target="https://map.geo.admin.ch/?zoom=13&amp;E=2631802&amp;N=1218568&amp;layers=ch.kantone.cadastralwebmap-farbe,ch.swisstopo.amtliches-strassenverzeichnis,ch.bfs.gebaeude_wohnungs_register,KML||https://tinyurl.com/yy7ya4g9/BE/0954_bdg_erw.kml" TargetMode="External"/><Relationship Id="rId202" Type="http://schemas.openxmlformats.org/officeDocument/2006/relationships/hyperlink" Target="https://map.geo.admin.ch/?zoom=13&amp;E=2594771.637&amp;N=1226109.683&amp;layers=ch.kantone.cadastralwebmap-farbe,ch.swisstopo.amtliches-strassenverzeichnis,ch.bfs.gebaeude_wohnungs_register,KML||https://tinyurl.com/yy7ya4g9/BE/0387_bdg_erw.kml" TargetMode="External"/><Relationship Id="rId647" Type="http://schemas.openxmlformats.org/officeDocument/2006/relationships/hyperlink" Target="https://map.geo.admin.ch/?zoom=13&amp;E=2615681&amp;N=1173727&amp;layers=ch.kantone.cadastralwebmap-farbe,ch.swisstopo.amtliches-strassenverzeichnis,ch.bfs.gebaeude_wohnungs_register,KML||https://tinyurl.com/yy7ya4g9/BE/0768_bdg_erw.kml" TargetMode="External"/><Relationship Id="rId854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286" Type="http://schemas.openxmlformats.org/officeDocument/2006/relationships/hyperlink" Target="https://map.geo.admin.ch/?zoom=13&amp;E=2566309.298&amp;N=1222579.418&amp;layers=ch.kantone.cadastralwebmap-farbe,ch.swisstopo.amtliches-strassenverzeichnis,ch.bfs.gebaeude_wohnungs_register,KML||https://tinyurl.com/yy7ya4g9/BE/0443_bdg_erw.kml" TargetMode="External"/><Relationship Id="rId493" Type="http://schemas.openxmlformats.org/officeDocument/2006/relationships/hyperlink" Target="https://map.geo.admin.ch/?zoom=13&amp;E=2613781&amp;N=1184868.5&amp;layers=ch.kantone.cadastralwebmap-farbe,ch.swisstopo.amtliches-strassenverzeichnis,ch.bfs.gebaeude_wohnungs_register,KML||https://tinyurl.com/yy7ya4g9/BE/0606_bdg_erw.kml" TargetMode="External"/><Relationship Id="rId507" Type="http://schemas.openxmlformats.org/officeDocument/2006/relationships/hyperlink" Target="https://map.geo.admin.ch/?zoom=13&amp;E=2608204.75&amp;N=1190763.375&amp;layers=ch.kantone.cadastralwebmap-farbe,ch.swisstopo.amtliches-strassenverzeichnis,ch.bfs.gebaeude_wohnungs_register,KML||https://tinyurl.com/yy7ya4g9/BE/0616_bdg_erw.kml" TargetMode="External"/><Relationship Id="rId714" Type="http://schemas.openxmlformats.org/officeDocument/2006/relationships/hyperlink" Target="https://map.geo.admin.ch/?zoom=13&amp;E=2605019.125&amp;N=1187325.75&amp;layers=ch.kantone.cadastralwebmap-farbe,ch.swisstopo.amtliches-strassenverzeichnis,ch.bfs.gebaeude_wohnungs_register,KML||https://tinyurl.com/yy7ya4g9/BE/0869_bdg_erw.kml" TargetMode="External"/><Relationship Id="rId921" Type="http://schemas.openxmlformats.org/officeDocument/2006/relationships/hyperlink" Target="https://map.geo.admin.ch/?zoom=13&amp;E=2620746&amp;N=1174689&amp;layers=ch.kantone.cadastralwebmap-farbe,ch.swisstopo.amtliches-strassenverzeichnis,ch.bfs.gebaeude_wohnungs_register,KML||https://tinyurl.com/yy7ya4g9/BE/0938_bdg_erw.kml" TargetMode="External"/><Relationship Id="rId1137" Type="http://schemas.openxmlformats.org/officeDocument/2006/relationships/drawing" Target="../drawings/drawing2.xml"/><Relationship Id="rId50" Type="http://schemas.openxmlformats.org/officeDocument/2006/relationships/hyperlink" Target="https://map.geo.admin.ch/?zoom=13&amp;E=2632974&amp;N=1222270&amp;layers=ch.kantone.cadastralwebmap-farbe,ch.swisstopo.amtliches-strassenverzeichnis,ch.bfs.gebaeude_wohnungs_register,KML||https://tinyurl.com/yy7ya4g9/BE/0326_bdg_erw.kml" TargetMode="External"/><Relationship Id="rId146" Type="http://schemas.openxmlformats.org/officeDocument/2006/relationships/hyperlink" Target="https://map.geo.admin.ch/?zoom=13&amp;E=2601510.672&amp;N=1202935.036&amp;layers=ch.kantone.cadastralwebmap-farbe,ch.swisstopo.amtliches-strassenverzeichnis,ch.bfs.gebaeude_wohnungs_register,KML||https://tinyurl.com/yy7ya4g9/BE/0362_bdg_erw.kml" TargetMode="External"/><Relationship Id="rId353" Type="http://schemas.openxmlformats.org/officeDocument/2006/relationships/hyperlink" Target="https://map.geo.admin.ch/?zoom=13&amp;E=2616815.3&amp;N=1159003&amp;layers=ch.kantone.cadastralwebmap-farbe,ch.swisstopo.amtliches-strassenverzeichnis,ch.bfs.gebaeude_wohnungs_register,KML||https://tinyurl.com/yy7ya4g9/BE/0563_bdg_erw.kml" TargetMode="External"/><Relationship Id="rId560" Type="http://schemas.openxmlformats.org/officeDocument/2006/relationships/hyperlink" Target="https://map.geo.admin.ch/?zoom=13&amp;E=2589737.475&amp;N=1232099.125&amp;layers=ch.kantone.cadastralwebmap-farbe,ch.swisstopo.amtliches-strassenverzeichnis,ch.bfs.gebaeude_wohnungs_register,KML||https://tinyurl.com/yy7ya4g9/BE/0711_bdg_erw.kml" TargetMode="External"/><Relationship Id="rId798" Type="http://schemas.openxmlformats.org/officeDocument/2006/relationships/hyperlink" Target="https://map.geo.admin.ch/?zoom=13&amp;E=2610676&amp;N=1182423&amp;layers=ch.kantone.cadastralwebmap-farbe,ch.swisstopo.amtliches-strassenverzeichnis,ch.bfs.gebaeude_wohnungs_register,KML||https://tinyurl.com/yy7ya4g9/BE/0885_bdg_erw.kml" TargetMode="External"/><Relationship Id="rId213" Type="http://schemas.openxmlformats.org/officeDocument/2006/relationships/hyperlink" Target="https://map.geo.admin.ch/?zoom=13&amp;E=2593045.5&amp;N=1223078.5&amp;layers=ch.kantone.cadastralwebmap-farbe,ch.swisstopo.amtliches-strassenverzeichnis,ch.bfs.gebaeude_wohnungs_register,KML||https://tinyurl.com/yy7ya4g9/BE/0390_bdg_erw.kml" TargetMode="External"/><Relationship Id="rId420" Type="http://schemas.openxmlformats.org/officeDocument/2006/relationships/hyperlink" Target="https://map.geo.admin.ch/?zoom=13&amp;E=2622213&amp;N=1157994&amp;layers=ch.kantone.cadastralwebmap-farbe,ch.swisstopo.amtliches-strassenverzeichnis,ch.bfs.gebaeude_wohnungs_register,KML||https://tinyurl.com/yy7ya4g9/BE/0567_bdg_erw.kml" TargetMode="External"/><Relationship Id="rId658" Type="http://schemas.openxmlformats.org/officeDocument/2006/relationships/hyperlink" Target="https://map.geo.admin.ch/?zoom=13&amp;E=2596584.073&amp;N=1164125.607&amp;layers=ch.kantone.cadastralwebmap-farbe,ch.swisstopo.amtliches-strassenverzeichnis,ch.bfs.gebaeude_wohnungs_register,KML||https://tinyurl.com/yy7ya4g9/BE/0791_bdg_erw.kml" TargetMode="External"/><Relationship Id="rId865" Type="http://schemas.openxmlformats.org/officeDocument/2006/relationships/hyperlink" Target="https://map.geo.admin.ch/?zoom=13&amp;E=2605688.75&amp;N=1184115.375&amp;layers=ch.kantone.cadastralwebmap-farbe,ch.swisstopo.amtliches-strassenverzeichnis,ch.bfs.gebaeude_wohnungs_register,KML||https://tinyurl.com/yy7ya4g9/BE/0889_bdg_erw.kml" TargetMode="External"/><Relationship Id="rId1050" Type="http://schemas.openxmlformats.org/officeDocument/2006/relationships/hyperlink" Target="https://map.geo.admin.ch/?zoom=13&amp;E=2626226.163&amp;N=1218151.114&amp;layers=ch.kantone.cadastralwebmap-farbe,ch.swisstopo.amtliches-strassenverzeichnis,ch.bfs.gebaeude_wohnungs_register,KML||https://tinyurl.com/yy7ya4g9/BE/0959_bdg_erw.kml" TargetMode="External"/><Relationship Id="rId297" Type="http://schemas.openxmlformats.org/officeDocument/2006/relationships/hyperlink" Target="https://map.geo.admin.ch/?zoom=13&amp;E=2570544.25&amp;N=1207464.5&amp;layers=ch.kantone.cadastralwebmap-farbe,ch.swisstopo.amtliches-strassenverzeichnis,ch.bfs.gebaeude_wohnungs_register,KML||https://tinyurl.com/yy7ya4g9/BE/0495_bdg_erw.kml" TargetMode="External"/><Relationship Id="rId518" Type="http://schemas.openxmlformats.org/officeDocument/2006/relationships/hyperlink" Target="https://map.geo.admin.ch/?zoom=13&amp;E=2619059&amp;N=1197002&amp;layers=ch.kantone.cadastralwebmap-farbe,ch.swisstopo.amtliches-strassenverzeichnis,ch.bfs.gebaeude_wohnungs_register,KML||https://tinyurl.com/yy7ya4g9/BE/0620_bdg_erw.kml" TargetMode="External"/><Relationship Id="rId725" Type="http://schemas.openxmlformats.org/officeDocument/2006/relationships/hyperlink" Target="https://map.geo.admin.ch/?zoom=13&amp;E=2605933&amp;N=1188046&amp;layers=ch.kantone.cadastralwebmap-farbe,ch.swisstopo.amtliches-strassenverzeichnis,ch.bfs.gebaeude_wohnungs_register,KML||https://tinyurl.com/yy7ya4g9/BE/0872_bdg_erw.kml" TargetMode="External"/><Relationship Id="rId932" Type="http://schemas.openxmlformats.org/officeDocument/2006/relationships/hyperlink" Target="https://map.geo.admin.ch/?zoom=13&amp;E=2614941&amp;N=1181387&amp;layers=ch.kantone.cadastralwebmap-farbe,ch.swisstopo.amtliches-strassenverzeichnis,ch.bfs.gebaeude_wohnungs_register,KML||https://tinyurl.com/yy7ya4g9/BE/0939_bdg_erw.kml" TargetMode="External"/><Relationship Id="rId157" Type="http://schemas.openxmlformats.org/officeDocument/2006/relationships/hyperlink" Target="https://map.geo.admin.ch/?zoom=13&amp;E=2584965.141&amp;N=1220235.49&amp;layers=ch.kantone.cadastralwebmap-farbe,ch.swisstopo.amtliches-strassenverzeichnis,ch.bfs.gebaeude_wohnungs_register,KML||https://tinyurl.com/yy7ya4g9/BE/0371_bdg_erw.kml" TargetMode="External"/><Relationship Id="rId364" Type="http://schemas.openxmlformats.org/officeDocument/2006/relationships/hyperlink" Target="https://map.geo.admin.ch/?zoom=13&amp;E=2611641.75&amp;N=1152215.875&amp;layers=ch.kantone.cadastralwebmap-farbe,ch.swisstopo.amtliches-strassenverzeichnis,ch.bfs.gebaeude_wohnungs_register,KML||https://tinyurl.com/yy7ya4g9/BE/0563_bdg_erw.kml" TargetMode="External"/><Relationship Id="rId1008" Type="http://schemas.openxmlformats.org/officeDocument/2006/relationships/hyperlink" Target="https://map.geo.admin.ch/?zoom=13&amp;E=2621994.5&amp;N=1207140.625&amp;layers=ch.kantone.cadastralwebmap-farbe,ch.swisstopo.amtliches-strassenverzeichnis,ch.bfs.gebaeude_wohnungs_register,KML||https://tinyurl.com/yy7ya4g9/BE/0955_bdg_erw.kml" TargetMode="External"/><Relationship Id="rId61" Type="http://schemas.openxmlformats.org/officeDocument/2006/relationships/hyperlink" Target="https://map.geo.admin.ch/?zoom=13&amp;E=2626261.316&amp;N=1226764.817&amp;layers=ch.kantone.cadastralwebmap-farbe,ch.swisstopo.amtliches-strassenverzeichnis,ch.bfs.gebaeude_wohnungs_register,KML||https://tinyurl.com/yy7ya4g9/BE/0331_bdg_erw.kml" TargetMode="External"/><Relationship Id="rId571" Type="http://schemas.openxmlformats.org/officeDocument/2006/relationships/hyperlink" Target="https://map.geo.admin.ch/?zoom=13&amp;E=2580576.437&amp;N=1219559.914&amp;layers=ch.kantone.cadastralwebmap-farbe,ch.swisstopo.amtliches-strassenverzeichnis,ch.bfs.gebaeude_wohnungs_register,KML||https://tinyurl.com/yy7ya4g9/BE/0726_bdg_erw.kml" TargetMode="External"/><Relationship Id="rId669" Type="http://schemas.openxmlformats.org/officeDocument/2006/relationships/hyperlink" Target="https://map.geo.admin.ch/?zoom=13&amp;E=2596648.529&amp;N=1154571.923&amp;layers=ch.kantone.cadastralwebmap-farbe,ch.swisstopo.amtliches-strassenverzeichnis,ch.bfs.gebaeude_wohnungs_register,KML||https://tinyurl.com/yy7ya4g9/BE/0794_bdg_erw.kml" TargetMode="External"/><Relationship Id="rId876" Type="http://schemas.openxmlformats.org/officeDocument/2006/relationships/hyperlink" Target="https://map.geo.admin.ch/?zoom=13&amp;E=2626705.133&amp;N=1198719.562&amp;layers=ch.kantone.cadastralwebmap-farbe,ch.swisstopo.amtliches-strassenverzeichnis,ch.bfs.gebaeude_wohnungs_register,KML||https://tinyurl.com/yy7ya4g9/BE/0902_bdg_erw.kml" TargetMode="External"/><Relationship Id="rId19" Type="http://schemas.openxmlformats.org/officeDocument/2006/relationships/hyperlink" Target="https://map.geo.admin.ch/?zoom=13&amp;E=2589530&amp;N=1213687&amp;layers=ch.kantone.cadastralwebmap-farbe,ch.swisstopo.amtliches-strassenverzeichnis,ch.bfs.gebaeude_wohnungs_register,KML||https://tinyurl.com/yy7ya4g9/BE/0306_bdg_erw.kml" TargetMode="External"/><Relationship Id="rId224" Type="http://schemas.openxmlformats.org/officeDocument/2006/relationships/hyperlink" Target="https://map.geo.admin.ch/?zoom=13&amp;E=2615340&amp;N=1210876&amp;layers=ch.kantone.cadastralwebmap-farbe,ch.swisstopo.amtliches-strassenverzeichnis,ch.bfs.gebaeude_wohnungs_register,KML||https://tinyurl.com/yy7ya4g9/BE/0404_bdg_erw.kml" TargetMode="External"/><Relationship Id="rId431" Type="http://schemas.openxmlformats.org/officeDocument/2006/relationships/hyperlink" Target="https://map.geo.admin.ch/?zoom=13&amp;E=2620226&amp;N=1163087&amp;layers=ch.kantone.cadastralwebmap-farbe,ch.swisstopo.amtliches-strassenverzeichnis,ch.bfs.gebaeude_wohnungs_register,KML||https://tinyurl.com/yy7ya4g9/BE/0567_bdg_erw.kml" TargetMode="External"/><Relationship Id="rId529" Type="http://schemas.openxmlformats.org/officeDocument/2006/relationships/hyperlink" Target="https://map.geo.admin.ch/?zoom=13&amp;E=2618146.018&amp;N=1192826.765&amp;layers=ch.kantone.cadastralwebmap-farbe,ch.swisstopo.amtliches-strassenverzeichnis,ch.bfs.gebaeude_wohnungs_register,KML||https://tinyurl.com/yy7ya4g9/BE/0628_bdg_erw.kml" TargetMode="External"/><Relationship Id="rId736" Type="http://schemas.openxmlformats.org/officeDocument/2006/relationships/hyperlink" Target="https://map.geo.admin.ch/?zoom=13&amp;E=2602282.5&amp;N=1189952.375&amp;layers=ch.kantone.cadastralwebmap-farbe,ch.swisstopo.amtliches-strassenverzeichnis,ch.bfs.gebaeude_wohnungs_register,KML||https://tinyurl.com/yy7ya4g9/BE/0877_bdg_erw.kml" TargetMode="External"/><Relationship Id="rId1061" Type="http://schemas.openxmlformats.org/officeDocument/2006/relationships/hyperlink" Target="https://map.geo.admin.ch/?zoom=13&amp;E=2623830.16&amp;N=1216316.526&amp;layers=ch.kantone.cadastralwebmap-farbe,ch.swisstopo.amtliches-strassenverzeichnis,ch.bfs.gebaeude_wohnungs_register,KML||https://tinyurl.com/yy7ya4g9/BE/0959_bdg_erw.kml" TargetMode="External"/><Relationship Id="rId168" Type="http://schemas.openxmlformats.org/officeDocument/2006/relationships/hyperlink" Target="https://map.geo.admin.ch/?zoom=13&amp;E=2588364.341&amp;N=1223142.686&amp;layers=ch.kantone.cadastralwebmap-farbe,ch.swisstopo.amtliches-strassenverzeichnis,ch.bfs.gebaeude_wohnungs_register,KML||https://tinyurl.com/yy7ya4g9/BE/0371_bdg_erw.kml" TargetMode="External"/><Relationship Id="rId943" Type="http://schemas.openxmlformats.org/officeDocument/2006/relationships/hyperlink" Target="https://map.geo.admin.ch/?zoom=13&amp;E=2614362.041&amp;N=1181683.174&amp;layers=ch.kantone.cadastralwebmap-farbe,ch.swisstopo.amtliches-strassenverzeichnis,ch.bfs.gebaeude_wohnungs_register,KML||https://tinyurl.com/yy7ya4g9/BE/0939_bdg_erw.kml" TargetMode="External"/><Relationship Id="rId1019" Type="http://schemas.openxmlformats.org/officeDocument/2006/relationships/hyperlink" Target="https://map.geo.admin.ch/?zoom=13&amp;E=2623792.608&amp;N=1208391.216&amp;layers=ch.kantone.cadastralwebmap-farbe,ch.swisstopo.amtliches-strassenverzeichnis,ch.bfs.gebaeude_wohnungs_register,KML||https://tinyurl.com/yy7ya4g9/BE/0957_bdg_erw.kml" TargetMode="External"/><Relationship Id="rId72" Type="http://schemas.openxmlformats.org/officeDocument/2006/relationships/hyperlink" Target="https://map.geo.admin.ch/?zoom=13&amp;E=2626181.094&amp;N=1222427.361&amp;layers=ch.kantone.cadastralwebmap-farbe,ch.swisstopo.amtliches-strassenverzeichnis,ch.bfs.gebaeude_wohnungs_register,KML||https://tinyurl.com/yy7ya4g9/BE/0332_bdg_erw.kml" TargetMode="External"/><Relationship Id="rId375" Type="http://schemas.openxmlformats.org/officeDocument/2006/relationships/hyperlink" Target="https://map.geo.admin.ch/?zoom=13&amp;E=2613448.75&amp;N=1156008.875&amp;layers=ch.kantone.cadastralwebmap-farbe,ch.swisstopo.amtliches-strassenverzeichnis,ch.bfs.gebaeude_wohnungs_register,KML||https://tinyurl.com/yy7ya4g9/BE/0563_bdg_erw.kml" TargetMode="External"/><Relationship Id="rId582" Type="http://schemas.openxmlformats.org/officeDocument/2006/relationships/hyperlink" Target="https://map.geo.admin.ch/?zoom=13&amp;E=2587663.563&amp;N=1219346.074&amp;layers=ch.kantone.cadastralwebmap-farbe,ch.swisstopo.amtliches-strassenverzeichnis,ch.bfs.gebaeude_wohnungs_register,KML||https://tinyurl.com/yy7ya4g9/BE/0733_bdg_erw.kml" TargetMode="External"/><Relationship Id="rId803" Type="http://schemas.openxmlformats.org/officeDocument/2006/relationships/hyperlink" Target="https://map.geo.admin.ch/?zoom=13&amp;E=2605466&amp;N=1177938&amp;layers=ch.kantone.cadastralwebmap-farbe,ch.swisstopo.amtliches-strassenverzeichnis,ch.bfs.gebaeude_wohnungs_register,KML||https://tinyurl.com/yy7ya4g9/BE/0886_bdg_erw.kml" TargetMode="External"/><Relationship Id="rId3" Type="http://schemas.openxmlformats.org/officeDocument/2006/relationships/hyperlink" Target="https://map.geo.admin.ch/?zoom=13&amp;E=2587086&amp;N=1210481&amp;layers=ch.kantone.cadastralwebmap-farbe,ch.swisstopo.amtliches-strassenverzeichnis,ch.bfs.gebaeude_wohnungs_register,KML||https://tinyurl.com/yy7ya4g9/BE/0301_bdg_erw.kml" TargetMode="External"/><Relationship Id="rId235" Type="http://schemas.openxmlformats.org/officeDocument/2006/relationships/hyperlink" Target="https://map.geo.admin.ch/?zoom=13&amp;E=2612695&amp;N=1212638&amp;layers=ch.kantone.cadastralwebmap-farbe,ch.swisstopo.amtliches-strassenverzeichnis,ch.bfs.gebaeude_wohnungs_register,KML||https://tinyurl.com/yy7ya4g9/BE/0404_bdg_erw.kml" TargetMode="External"/><Relationship Id="rId442" Type="http://schemas.openxmlformats.org/officeDocument/2006/relationships/hyperlink" Target="https://map.geo.admin.ch/?zoom=13&amp;E=2628831.881&amp;N=1171775.635&amp;layers=ch.kantone.cadastralwebmap-farbe,ch.swisstopo.amtliches-strassenverzeichnis,ch.bfs.gebaeude_wohnungs_register,KML||https://tinyurl.com/yy7ya4g9/BE/0571_bdg_erw.kml" TargetMode="External"/><Relationship Id="rId887" Type="http://schemas.openxmlformats.org/officeDocument/2006/relationships/hyperlink" Target="https://map.geo.admin.ch/?zoom=13&amp;E=2630685.161&amp;N=1196348.026&amp;layers=ch.kantone.cadastralwebmap-farbe,ch.swisstopo.amtliches-strassenverzeichnis,ch.bfs.gebaeude_wohnungs_register,KML||https://tinyurl.com/yy7ya4g9/BE/0909_bdg_erw.kml" TargetMode="External"/><Relationship Id="rId1072" Type="http://schemas.openxmlformats.org/officeDocument/2006/relationships/hyperlink" Target="https://map.geo.admin.ch/?zoom=13&amp;E=2621124.314&amp;N=1229986.041&amp;layers=ch.kantone.cadastralwebmap-farbe,ch.swisstopo.amtliches-strassenverzeichnis,ch.bfs.gebaeude_wohnungs_register,KML||https://tinyurl.com/yy7ya4g9/BE/0976_bdg_erw.kml" TargetMode="External"/><Relationship Id="rId302" Type="http://schemas.openxmlformats.org/officeDocument/2006/relationships/hyperlink" Target="https://map.geo.admin.ch/?zoom=13&amp;E=2574631&amp;N=1205501&amp;layers=ch.kantone.cadastralwebmap-farbe,ch.swisstopo.amtliches-strassenverzeichnis,ch.bfs.gebaeude_wohnungs_register,KML||https://tinyurl.com/yy7ya4g9/BE/0496_bdg_erw.kml" TargetMode="External"/><Relationship Id="rId747" Type="http://schemas.openxmlformats.org/officeDocument/2006/relationships/hyperlink" Target="https://map.geo.admin.ch/?zoom=13&amp;E=2599985.5&amp;N=1189459.875&amp;layers=ch.kantone.cadastralwebmap-farbe,ch.swisstopo.amtliches-strassenverzeichnis,ch.bfs.gebaeude_wohnungs_register,KML||https://tinyurl.com/yy7ya4g9/BE/0877_bdg_erw.kml" TargetMode="External"/><Relationship Id="rId954" Type="http://schemas.openxmlformats.org/officeDocument/2006/relationships/hyperlink" Target="https://map.geo.admin.ch/?zoom=13&amp;E=2614527.402&amp;N=1175347.17&amp;layers=ch.kantone.cadastralwebmap-farbe,ch.swisstopo.amtliches-strassenverzeichnis,ch.bfs.gebaeude_wohnungs_register,KML||https://tinyurl.com/yy7ya4g9/BE/0942_bdg_erw.kml" TargetMode="External"/><Relationship Id="rId83" Type="http://schemas.openxmlformats.org/officeDocument/2006/relationships/hyperlink" Target="https://map.geo.admin.ch/?zoom=13&amp;E=2628555&amp;N=1232706&amp;layers=ch.kantone.cadastralwebmap-farbe,ch.swisstopo.amtliches-strassenverzeichnis,ch.bfs.gebaeude_wohnungs_register,KML||https://tinyurl.com/yy7ya4g9/BE/0337_bdg_erw.kml" TargetMode="External"/><Relationship Id="rId179" Type="http://schemas.openxmlformats.org/officeDocument/2006/relationships/hyperlink" Target="https://map.geo.admin.ch/?zoom=13&amp;E=2588276.874&amp;N=1223046.453&amp;layers=ch.kantone.cadastralwebmap-farbe,ch.swisstopo.amtliches-strassenverzeichnis,ch.bfs.gebaeude_wohnungs_register,KML||https://tinyurl.com/yy7ya4g9/BE/0371_bdg_erw.kml" TargetMode="External"/><Relationship Id="rId386" Type="http://schemas.openxmlformats.org/officeDocument/2006/relationships/hyperlink" Target="https://map.geo.admin.ch/?zoom=13&amp;E=2616456.877&amp;N=1159231.793&amp;layers=ch.kantone.cadastralwebmap-farbe,ch.swisstopo.amtliches-strassenverzeichnis,ch.bfs.gebaeude_wohnungs_register,KML||https://tinyurl.com/yy7ya4g9/BE/0563_bdg_erw.kml" TargetMode="External"/><Relationship Id="rId593" Type="http://schemas.openxmlformats.org/officeDocument/2006/relationships/hyperlink" Target="https://map.geo.admin.ch/?zoom=13&amp;E=2585778.653&amp;N=1217750.757&amp;layers=ch.kantone.cadastralwebmap-farbe,ch.swisstopo.amtliches-strassenverzeichnis,ch.bfs.gebaeude_wohnungs_register,KML||https://tinyurl.com/yy7ya4g9/BE/0745_bdg_erw.kml" TargetMode="External"/><Relationship Id="rId607" Type="http://schemas.openxmlformats.org/officeDocument/2006/relationships/hyperlink" Target="https://map.geo.admin.ch/?zoom=13&amp;E=2583117&amp;N=1216741&amp;layers=ch.kantone.cadastralwebmap-farbe,ch.swisstopo.amtliches-strassenverzeichnis,ch.bfs.gebaeude_wohnungs_register,KML||https://tinyurl.com/yy7ya4g9/BE/0750_bdg_erw.kml" TargetMode="External"/><Relationship Id="rId814" Type="http://schemas.openxmlformats.org/officeDocument/2006/relationships/hyperlink" Target="https://map.geo.admin.ch/?zoom=13&amp;E=2605237&amp;N=1178964&amp;layers=ch.kantone.cadastralwebmap-farbe,ch.swisstopo.amtliches-strassenverzeichnis,ch.bfs.gebaeude_wohnungs_register,KML||https://tinyurl.com/yy7ya4g9/BE/0886_bdg_erw.kml" TargetMode="External"/><Relationship Id="rId246" Type="http://schemas.openxmlformats.org/officeDocument/2006/relationships/hyperlink" Target="https://map.geo.admin.ch/?zoom=13&amp;E=2612834.641&amp;N=1212334.021&amp;layers=ch.kantone.cadastralwebmap-farbe,ch.swisstopo.amtliches-strassenverzeichnis,ch.bfs.gebaeude_wohnungs_register,KML||https://tinyurl.com/yy7ya4g9/BE/0404_bdg_erw.kml" TargetMode="External"/><Relationship Id="rId453" Type="http://schemas.openxmlformats.org/officeDocument/2006/relationships/hyperlink" Target="https://map.geo.admin.ch/?zoom=13&amp;E=2628256.75&amp;N=1167682.125&amp;layers=ch.kantone.cadastralwebmap-farbe,ch.swisstopo.amtliches-strassenverzeichnis,ch.bfs.gebaeude_wohnungs_register,KML||https://tinyurl.com/yy7ya4g9/BE/0575_bdg_erw.kml" TargetMode="External"/><Relationship Id="rId660" Type="http://schemas.openxmlformats.org/officeDocument/2006/relationships/hyperlink" Target="https://map.geo.admin.ch/?zoom=13&amp;E=2601824&amp;N=1142864&amp;layers=ch.kantone.cadastralwebmap-farbe,ch.swisstopo.amtliches-strassenverzeichnis,ch.bfs.gebaeude_wohnungs_register,KML||https://tinyurl.com/yy7ya4g9/BE/0792_bdg_erw.kml" TargetMode="External"/><Relationship Id="rId898" Type="http://schemas.openxmlformats.org/officeDocument/2006/relationships/hyperlink" Target="https://map.geo.admin.ch/?zoom=13&amp;E=2625276.489&amp;N=1181932.364&amp;layers=ch.kantone.cadastralwebmap-farbe,ch.swisstopo.amtliches-strassenverzeichnis,ch.bfs.gebaeude_wohnungs_register,KML||https://tinyurl.com/yy7ya4g9/BE/0924_bdg_erw.kml" TargetMode="External"/><Relationship Id="rId1083" Type="http://schemas.openxmlformats.org/officeDocument/2006/relationships/hyperlink" Target="https://map.geo.admin.ch/?zoom=13&amp;E=2616677&amp;N=1234070&amp;layers=ch.kantone.cadastralwebmap-farbe,ch.swisstopo.amtliches-strassenverzeichnis,ch.bfs.gebaeude_wohnungs_register,KML||https://tinyurl.com/yy7ya4g9/BE/0983_bdg_erw.kml" TargetMode="External"/><Relationship Id="rId106" Type="http://schemas.openxmlformats.org/officeDocument/2006/relationships/hyperlink" Target="https://map.geo.admin.ch/?zoom=13&amp;E=2601901.122&amp;N=1198913.5&amp;layers=ch.kantone.cadastralwebmap-farbe,ch.swisstopo.amtliches-strassenverzeichnis,ch.bfs.gebaeude_wohnungs_register,KML||https://tinyurl.com/yy7ya4g9/BE/0351_bdg_erw.kml" TargetMode="External"/><Relationship Id="rId313" Type="http://schemas.openxmlformats.org/officeDocument/2006/relationships/hyperlink" Target="https://map.geo.admin.ch/?zoom=13&amp;E=2605577.919&amp;N=1216154.88&amp;layers=ch.kantone.cadastralwebmap-farbe,ch.swisstopo.amtliches-strassenverzeichnis,ch.bfs.gebaeude_wohnungs_register,KML||https://tinyurl.com/yy7ya4g9/BE/0538_bdg_erw.kml" TargetMode="External"/><Relationship Id="rId758" Type="http://schemas.openxmlformats.org/officeDocument/2006/relationships/hyperlink" Target="https://map.geo.admin.ch/?zoom=13&amp;E=2602158.75&amp;N=1189809.625&amp;layers=ch.kantone.cadastralwebmap-farbe,ch.swisstopo.amtliches-strassenverzeichnis,ch.bfs.gebaeude_wohnungs_register,KML||https://tinyurl.com/yy7ya4g9/BE/0877_bdg_erw.kml" TargetMode="External"/><Relationship Id="rId965" Type="http://schemas.openxmlformats.org/officeDocument/2006/relationships/hyperlink" Target="https://map.geo.admin.ch/?zoom=13&amp;E=2611839.939&amp;N=1176917.116&amp;layers=ch.kantone.cadastralwebmap-farbe,ch.swisstopo.amtliches-strassenverzeichnis,ch.bfs.gebaeude_wohnungs_register,KML||https://tinyurl.com/yy7ya4g9/BE/0942_bdg_erw.kml" TargetMode="External"/><Relationship Id="rId10" Type="http://schemas.openxmlformats.org/officeDocument/2006/relationships/hyperlink" Target="https://map.geo.admin.ch/?zoom=13&amp;E=2586386.25&amp;N=1209776.5&amp;layers=ch.kantone.cadastralwebmap-farbe,ch.swisstopo.amtliches-strassenverzeichnis,ch.bfs.gebaeude_wohnungs_register,KML||https://tinyurl.com/yy7ya4g9/BE/0302_bdg_erw.kml" TargetMode="External"/><Relationship Id="rId94" Type="http://schemas.openxmlformats.org/officeDocument/2006/relationships/hyperlink" Target="https://map.geo.admin.ch/?zoom=13&amp;E=2625183&amp;N=1221258&amp;layers=ch.kantone.cadastralwebmap-farbe,ch.swisstopo.amtliches-strassenverzeichnis,ch.bfs.gebaeude_wohnungs_register,KML||https://tinyurl.com/yy7ya4g9/BE/0344_bdg_erw.kml" TargetMode="External"/><Relationship Id="rId397" Type="http://schemas.openxmlformats.org/officeDocument/2006/relationships/hyperlink" Target="https://map.geo.admin.ch/?zoom=13&amp;E=2621782&amp;N=1159116&amp;layers=ch.kantone.cadastralwebmap-farbe,ch.swisstopo.amtliches-strassenverzeichnis,ch.bfs.gebaeude_wohnungs_register,KML||https://tinyurl.com/yy7ya4g9/BE/0567_bdg_erw.kml" TargetMode="External"/><Relationship Id="rId520" Type="http://schemas.openxmlformats.org/officeDocument/2006/relationships/hyperlink" Target="https://map.geo.admin.ch/?zoom=13&amp;E=2608862.042&amp;N=1195302.394&amp;layers=ch.kantone.cadastralwebmap-farbe,ch.swisstopo.amtliches-strassenverzeichnis,ch.bfs.gebaeude_wohnungs_register,KML||https://tinyurl.com/yy7ya4g9/BE/0623_bdg_erw.kml" TargetMode="External"/><Relationship Id="rId618" Type="http://schemas.openxmlformats.org/officeDocument/2006/relationships/hyperlink" Target="https://map.geo.admin.ch/?zoom=13&amp;E=2604566.187&amp;N=1167396.437&amp;layers=ch.kantone.cadastralwebmap-farbe,ch.swisstopo.amtliches-strassenverzeichnis,ch.bfs.gebaeude_wohnungs_register,KML||https://tinyurl.com/yy7ya4g9/BE/0761_bdg_erw.kml" TargetMode="External"/><Relationship Id="rId825" Type="http://schemas.openxmlformats.org/officeDocument/2006/relationships/hyperlink" Target="https://map.geo.admin.ch/?zoom=13&amp;E=2605789&amp;N=1179180&amp;layers=ch.kantone.cadastralwebmap-farbe,ch.swisstopo.amtliches-strassenverzeichnis,ch.bfs.gebaeude_wohnungs_register,KML||https://tinyurl.com/yy7ya4g9/BE/0886_bdg_erw.kml" TargetMode="External"/><Relationship Id="rId257" Type="http://schemas.openxmlformats.org/officeDocument/2006/relationships/hyperlink" Target="https://map.geo.admin.ch/?zoom=13&amp;E=2611048&amp;N=1215194&amp;layers=ch.kantone.cadastralwebmap-farbe,ch.swisstopo.amtliches-strassenverzeichnis,ch.bfs.gebaeude_wohnungs_register,KML||https://tinyurl.com/yy7ya4g9/BE/0412_bdg_erw.kml" TargetMode="External"/><Relationship Id="rId464" Type="http://schemas.openxmlformats.org/officeDocument/2006/relationships/hyperlink" Target="https://map.geo.admin.ch/?zoom=13&amp;E=2636630.5&amp;N=1161991.5&amp;layers=ch.kantone.cadastralwebmap-farbe,ch.swisstopo.amtliches-strassenverzeichnis,ch.bfs.gebaeude_wohnungs_register,KML||https://tinyurl.com/yy7ya4g9/BE/0584_bdg_erw.kml" TargetMode="External"/><Relationship Id="rId1010" Type="http://schemas.openxmlformats.org/officeDocument/2006/relationships/hyperlink" Target="https://map.geo.admin.ch/?zoom=13&amp;E=2621909.508&amp;N=1206436.144&amp;layers=ch.kantone.cadastralwebmap-farbe,ch.swisstopo.amtliches-strassenverzeichnis,ch.bfs.gebaeude_wohnungs_register,KML||https://tinyurl.com/yy7ya4g9/BE/0955_bdg_erw.kml" TargetMode="External"/><Relationship Id="rId1094" Type="http://schemas.openxmlformats.org/officeDocument/2006/relationships/hyperlink" Target="https://map.geo.admin.ch/?zoom=13&amp;E=2618799.25&amp;N=1230922.875&amp;layers=ch.kantone.cadastralwebmap-farbe,ch.swisstopo.amtliches-strassenverzeichnis,ch.bfs.gebaeude_wohnungs_register,KML||https://tinyurl.com/yy7ya4g9/BE/0991_bdg_erw.kml" TargetMode="External"/><Relationship Id="rId1108" Type="http://schemas.openxmlformats.org/officeDocument/2006/relationships/hyperlink" Target="https://map.geo.admin.ch/?zoom=13&amp;E=2618545&amp;N=1231177.875&amp;layers=ch.kantone.cadastralwebmap-farbe,ch.swisstopo.amtliches-strassenverzeichnis,ch.bfs.gebaeude_wohnungs_register,KML||https://tinyurl.com/yy7ya4g9/BE/0991_bdg_erw.kml" TargetMode="External"/><Relationship Id="rId117" Type="http://schemas.openxmlformats.org/officeDocument/2006/relationships/hyperlink" Target="https://map.geo.admin.ch/?zoom=13&amp;E=2605543.273&amp;N=1197870.251&amp;layers=ch.kantone.cadastralwebmap-farbe,ch.swisstopo.amtliches-strassenverzeichnis,ch.bfs.gebaeude_wohnungs_register,KML||https://tinyurl.com/yy7ya4g9/BE/0356_bdg_erw.kml" TargetMode="External"/><Relationship Id="rId671" Type="http://schemas.openxmlformats.org/officeDocument/2006/relationships/hyperlink" Target="https://map.geo.admin.ch/?zoom=13&amp;E=2587104.25&amp;N=1140404.375&amp;layers=ch.kantone.cadastralwebmap-farbe,ch.swisstopo.amtliches-strassenverzeichnis,ch.bfs.gebaeude_wohnungs_register,KML||https://tinyurl.com/yy7ya4g9/BE/0841_bdg_erw.kml" TargetMode="External"/><Relationship Id="rId769" Type="http://schemas.openxmlformats.org/officeDocument/2006/relationships/hyperlink" Target="https://map.geo.admin.ch/?zoom=13&amp;E=2603342.794&amp;N=1188715.06&amp;layers=ch.kantone.cadastralwebmap-farbe,ch.swisstopo.amtliches-strassenverzeichnis,ch.bfs.gebaeude_wohnungs_register,KML||https://tinyurl.com/yy7ya4g9/BE/0877_bdg_erw.kml" TargetMode="External"/><Relationship Id="rId976" Type="http://schemas.openxmlformats.org/officeDocument/2006/relationships/hyperlink" Target="https://map.geo.admin.ch/?zoom=13&amp;E=2610492&amp;N=1180099.625&amp;layers=ch.kantone.cadastralwebmap-farbe,ch.swisstopo.amtliches-strassenverzeichnis,ch.bfs.gebaeude_wohnungs_register,KML||https://tinyurl.com/yy7ya4g9/BE/0944_bdg_erw.kml" TargetMode="External"/><Relationship Id="rId324" Type="http://schemas.openxmlformats.org/officeDocument/2006/relationships/hyperlink" Target="https://map.geo.admin.ch/?zoom=13&amp;E=2604688&amp;N=1208688&amp;layers=ch.kantone.cadastralwebmap-farbe,ch.swisstopo.amtliches-strassenverzeichnis,ch.bfs.gebaeude_wohnungs_register,KML||https://tinyurl.com/yy7ya4g9/BE/0551_bdg_erw.kml" TargetMode="External"/><Relationship Id="rId531" Type="http://schemas.openxmlformats.org/officeDocument/2006/relationships/hyperlink" Target="https://map.geo.admin.ch/?zoom=13&amp;E=2609811.54&amp;N=1187688.384&amp;layers=ch.kantone.cadastralwebmap-farbe,ch.swisstopo.amtliches-strassenverzeichnis,ch.bfs.gebaeude_wohnungs_register,KML||https://tinyurl.com/yy7ya4g9/BE/0632_bdg_erw.kml" TargetMode="External"/><Relationship Id="rId629" Type="http://schemas.openxmlformats.org/officeDocument/2006/relationships/hyperlink" Target="https://map.geo.admin.ch/?zoom=13&amp;E=2605998&amp;N=1160228&amp;layers=ch.kantone.cadastralwebmap-farbe,ch.swisstopo.amtliches-strassenverzeichnis,ch.bfs.gebaeude_wohnungs_register,KML||https://tinyurl.com/yy7ya4g9/BE/0762_bdg_erw.kml" TargetMode="External"/><Relationship Id="rId836" Type="http://schemas.openxmlformats.org/officeDocument/2006/relationships/hyperlink" Target="https://map.geo.admin.ch/?zoom=13&amp;E=2604059&amp;N=1179587&amp;layers=ch.kantone.cadastralwebmap-farbe,ch.swisstopo.amtliches-strassenverzeichnis,ch.bfs.gebaeude_wohnungs_register,KML||https://tinyurl.com/yy7ya4g9/BE/0886_bdg_erw.kml" TargetMode="External"/><Relationship Id="rId1021" Type="http://schemas.openxmlformats.org/officeDocument/2006/relationships/hyperlink" Target="https://map.geo.admin.ch/?zoom=13&amp;E=2623308&amp;N=1208734&amp;layers=ch.kantone.cadastralwebmap-farbe,ch.swisstopo.amtliches-strassenverzeichnis,ch.bfs.gebaeude_wohnungs_register,KML||https://tinyurl.com/yy7ya4g9/BE/0957_bdg_erw.kml" TargetMode="External"/><Relationship Id="rId1119" Type="http://schemas.openxmlformats.org/officeDocument/2006/relationships/hyperlink" Target="https://map.geo.admin.ch/?zoom=13&amp;E=2618063.25&amp;N=1230927.875&amp;layers=ch.kantone.cadastralwebmap-farbe,ch.swisstopo.amtliches-strassenverzeichnis,ch.bfs.gebaeude_wohnungs_register,KML||https://tinyurl.com/yy7ya4g9/BE/0991_bdg_erw.kml" TargetMode="External"/><Relationship Id="rId903" Type="http://schemas.openxmlformats.org/officeDocument/2006/relationships/hyperlink" Target="https://map.geo.admin.ch/?zoom=13&amp;E=2617607.375&amp;N=1177804&amp;layers=ch.kantone.cadastralwebmap-farbe,ch.swisstopo.amtliches-strassenverzeichnis,ch.bfs.gebaeude_wohnungs_register,KML||https://tinyurl.com/yy7ya4g9/BE/0927_bdg_erw.kml" TargetMode="External"/><Relationship Id="rId32" Type="http://schemas.openxmlformats.org/officeDocument/2006/relationships/hyperlink" Target="https://map.geo.admin.ch/?zoom=13&amp;E=2590735&amp;N=1216290&amp;layers=ch.kantone.cadastralwebmap-farbe,ch.swisstopo.amtliches-strassenverzeichnis,ch.bfs.gebaeude_wohnungs_register,KML||https://tinyurl.com/yy7ya4g9/BE/0306_bdg_erw.kml" TargetMode="External"/><Relationship Id="rId181" Type="http://schemas.openxmlformats.org/officeDocument/2006/relationships/hyperlink" Target="https://map.geo.admin.ch/?zoom=13&amp;E=2586516.088&amp;N=1222351.035&amp;layers=ch.kantone.cadastralwebmap-farbe,ch.swisstopo.amtliches-strassenverzeichnis,ch.bfs.gebaeude_wohnungs_register,KML||https://tinyurl.com/yy7ya4g9/BE/0371_bdg_erw.kml" TargetMode="External"/><Relationship Id="rId279" Type="http://schemas.openxmlformats.org/officeDocument/2006/relationships/hyperlink" Target="https://map.geo.admin.ch/?zoom=13&amp;E=2610797.163&amp;N=1214596.879&amp;layers=ch.kantone.cadastralwebmap-farbe,ch.swisstopo.amtliches-strassenverzeichnis,ch.bfs.gebaeude_wohnungs_register,KML||https://tinyurl.com/yy7ya4g9/BE/0420_bdg_erw.kml" TargetMode="External"/><Relationship Id="rId486" Type="http://schemas.openxmlformats.org/officeDocument/2006/relationships/hyperlink" Target="https://map.geo.admin.ch/?zoom=13&amp;E=2632790.56&amp;N=1167727.592&amp;layers=ch.kantone.cadastralwebmap-farbe,ch.swisstopo.amtliches-strassenverzeichnis,ch.bfs.gebaeude_wohnungs_register,KML||https://tinyurl.com/yy7ya4g9/BE/0594_bdg_erw.kml" TargetMode="External"/><Relationship Id="rId693" Type="http://schemas.openxmlformats.org/officeDocument/2006/relationships/hyperlink" Target="https://map.geo.admin.ch/?zoom=13&amp;E=2597030.791&amp;N=1181318.708&amp;layers=ch.kantone.cadastralwebmap-farbe,ch.swisstopo.amtliches-strassenverzeichnis,ch.bfs.gebaeude_wohnungs_register,KML||https://tinyurl.com/yy7ya4g9/BE/0853_bdg_erw.kml" TargetMode="External"/><Relationship Id="rId139" Type="http://schemas.openxmlformats.org/officeDocument/2006/relationships/hyperlink" Target="https://map.geo.admin.ch/?zoom=13&amp;E=2595351&amp;N=1203783&amp;layers=ch.kantone.cadastralwebmap-farbe,ch.swisstopo.amtliches-strassenverzeichnis,ch.bfs.gebaeude_wohnungs_register,KML||https://tinyurl.com/yy7ya4g9/BE/0360_bdg_erw.kml" TargetMode="External"/><Relationship Id="rId346" Type="http://schemas.openxmlformats.org/officeDocument/2006/relationships/hyperlink" Target="https://map.geo.admin.ch/?zoom=13&amp;E=2616612&amp;N=1157710&amp;layers=ch.kantone.cadastralwebmap-farbe,ch.swisstopo.amtliches-strassenverzeichnis,ch.bfs.gebaeude_wohnungs_register,KML||https://tinyurl.com/yy7ya4g9/BE/0563_bdg_erw.kml" TargetMode="External"/><Relationship Id="rId553" Type="http://schemas.openxmlformats.org/officeDocument/2006/relationships/hyperlink" Target="https://map.geo.admin.ch/?zoom=13&amp;E=2584771.903&amp;N=1194846.931&amp;layers=ch.kantone.cadastralwebmap-farbe,ch.swisstopo.amtliches-strassenverzeichnis,ch.bfs.gebaeude_wohnungs_register,KML||https://tinyurl.com/yy7ya4g9/BE/0667_bdg_erw.kml" TargetMode="External"/><Relationship Id="rId760" Type="http://schemas.openxmlformats.org/officeDocument/2006/relationships/hyperlink" Target="https://map.geo.admin.ch/?zoom=13&amp;E=2602178&amp;N=1189819.125&amp;layers=ch.kantone.cadastralwebmap-farbe,ch.swisstopo.amtliches-strassenverzeichnis,ch.bfs.gebaeude_wohnungs_register,KML||https://tinyurl.com/yy7ya4g9/BE/0877_bdg_erw.kml" TargetMode="External"/><Relationship Id="rId998" Type="http://schemas.openxmlformats.org/officeDocument/2006/relationships/hyperlink" Target="https://map.geo.admin.ch/?zoom=13&amp;E=2619317&amp;N=1206349&amp;layers=ch.kantone.cadastralwebmap-farbe,ch.swisstopo.amtliches-strassenverzeichnis,ch.bfs.gebaeude_wohnungs_register,KML||https://tinyurl.com/yy7ya4g9/BE/0955_bdg_erw.kml" TargetMode="External"/><Relationship Id="rId206" Type="http://schemas.openxmlformats.org/officeDocument/2006/relationships/hyperlink" Target="https://map.geo.admin.ch/?zoom=13&amp;E=2600618&amp;N=1224902.875&amp;layers=ch.kantone.cadastralwebmap-farbe,ch.swisstopo.amtliches-strassenverzeichnis,ch.bfs.gebaeude_wohnungs_register,KML||https://tinyurl.com/yy7ya4g9/BE/0388_bdg_erw.kml" TargetMode="External"/><Relationship Id="rId413" Type="http://schemas.openxmlformats.org/officeDocument/2006/relationships/hyperlink" Target="https://map.geo.admin.ch/?zoom=13&amp;E=2621517&amp;N=1159297&amp;layers=ch.kantone.cadastralwebmap-farbe,ch.swisstopo.amtliches-strassenverzeichnis,ch.bfs.gebaeude_wohnungs_register,KML||https://tinyurl.com/yy7ya4g9/BE/0567_bdg_erw.kml" TargetMode="External"/><Relationship Id="rId858" Type="http://schemas.openxmlformats.org/officeDocument/2006/relationships/hyperlink" Target="https://map.geo.admin.ch/?zoom=13&amp;E=2605625&amp;N=1178075&amp;layers=ch.kantone.cadastralwebmap-farbe,ch.swisstopo.amtliches-strassenverzeichnis,ch.bfs.gebaeude_wohnungs_register,KML||https://tinyurl.com/yy7ya4g9/BE/0886_bdg_erw.kml" TargetMode="External"/><Relationship Id="rId1043" Type="http://schemas.openxmlformats.org/officeDocument/2006/relationships/hyperlink" Target="https://map.geo.admin.ch/?zoom=13&amp;E=2626434.567&amp;N=1218323.39&amp;layers=ch.kantone.cadastralwebmap-farbe,ch.swisstopo.amtliches-strassenverzeichnis,ch.bfs.gebaeude_wohnungs_register,KML||https://tinyurl.com/yy7ya4g9/BE/0959_bdg_erw.kml" TargetMode="External"/><Relationship Id="rId620" Type="http://schemas.openxmlformats.org/officeDocument/2006/relationships/hyperlink" Target="https://map.geo.admin.ch/?zoom=13&amp;E=2607481&amp;N=1161021&amp;layers=ch.kantone.cadastralwebmap-farbe,ch.swisstopo.amtliches-strassenverzeichnis,ch.bfs.gebaeude_wohnungs_register,KML||https://tinyurl.com/yy7ya4g9/BE/0762_bdg_erw.kml" TargetMode="External"/><Relationship Id="rId718" Type="http://schemas.openxmlformats.org/officeDocument/2006/relationships/hyperlink" Target="https://map.geo.admin.ch/?zoom=13&amp;E=2602790&amp;N=1196237&amp;layers=ch.kantone.cadastralwebmap-farbe,ch.swisstopo.amtliches-strassenverzeichnis,ch.bfs.gebaeude_wohnungs_register,KML||https://tinyurl.com/yy7ya4g9/BE/0870_bdg_erw.kml" TargetMode="External"/><Relationship Id="rId925" Type="http://schemas.openxmlformats.org/officeDocument/2006/relationships/hyperlink" Target="https://map.geo.admin.ch/?zoom=13&amp;E=2622170&amp;N=1178825&amp;layers=ch.kantone.cadastralwebmap-farbe,ch.swisstopo.amtliches-strassenverzeichnis,ch.bfs.gebaeude_wohnungs_register,KML||https://tinyurl.com/yy7ya4g9/BE/0938_bdg_erw.kml" TargetMode="External"/><Relationship Id="rId1110" Type="http://schemas.openxmlformats.org/officeDocument/2006/relationships/hyperlink" Target="https://map.geo.admin.ch/?zoom=13&amp;E=2618498&amp;N=1231186.375&amp;layers=ch.kantone.cadastralwebmap-farbe,ch.swisstopo.amtliches-strassenverzeichnis,ch.bfs.gebaeude_wohnungs_register,KML||https://tinyurl.com/yy7ya4g9/BE/0991_bdg_erw.kml" TargetMode="External"/><Relationship Id="rId54" Type="http://schemas.openxmlformats.org/officeDocument/2006/relationships/hyperlink" Target="https://map.geo.admin.ch/?zoom=13&amp;E=2633359.25&amp;N=1220010.25&amp;layers=ch.kantone.cadastralwebmap-farbe,ch.swisstopo.amtliches-strassenverzeichnis,ch.bfs.gebaeude_wohnungs_register,KML||https://tinyurl.com/yy7ya4g9/BE/0326_bdg_erw.kml" TargetMode="External"/><Relationship Id="rId270" Type="http://schemas.openxmlformats.org/officeDocument/2006/relationships/hyperlink" Target="https://map.geo.admin.ch/?zoom=13&amp;E=2610419&amp;N=1214842&amp;layers=ch.kantone.cadastralwebmap-farbe,ch.swisstopo.amtliches-strassenverzeichnis,ch.bfs.gebaeude_wohnungs_register,KML||https://tinyurl.com/yy7ya4g9/BE/0420_bdg_erw.kml" TargetMode="External"/><Relationship Id="rId130" Type="http://schemas.openxmlformats.org/officeDocument/2006/relationships/hyperlink" Target="https://map.geo.admin.ch/?zoom=13&amp;E=2609839.87&amp;N=1201141.45&amp;layers=ch.kantone.cadastralwebmap-farbe,ch.swisstopo.amtliches-strassenverzeichnis,ch.bfs.gebaeude_wohnungs_register,KML||https://tinyurl.com/yy7ya4g9/BE/0359_bdg_erw.kml" TargetMode="External"/><Relationship Id="rId368" Type="http://schemas.openxmlformats.org/officeDocument/2006/relationships/hyperlink" Target="https://map.geo.admin.ch/?zoom=13&amp;E=2610636.25&amp;N=1152663.375&amp;layers=ch.kantone.cadastralwebmap-farbe,ch.swisstopo.amtliches-strassenverzeichnis,ch.bfs.gebaeude_wohnungs_register,KML||https://tinyurl.com/yy7ya4g9/BE/0563_bdg_erw.kml" TargetMode="External"/><Relationship Id="rId575" Type="http://schemas.openxmlformats.org/officeDocument/2006/relationships/hyperlink" Target="https://map.geo.admin.ch/?zoom=13&amp;E=2588886.13&amp;N=1218659.619&amp;layers=ch.kantone.cadastralwebmap-farbe,ch.swisstopo.amtliches-strassenverzeichnis,ch.bfs.gebaeude_wohnungs_register,KML||https://tinyurl.com/yy7ya4g9/BE/0731_bdg_erw.kml" TargetMode="External"/><Relationship Id="rId782" Type="http://schemas.openxmlformats.org/officeDocument/2006/relationships/hyperlink" Target="https://map.geo.admin.ch/?zoom=13&amp;E=2599037.024&amp;N=1187777.008&amp;layers=ch.kantone.cadastralwebmap-farbe,ch.swisstopo.amtliches-strassenverzeichnis,ch.bfs.gebaeude_wohnungs_register,KML||https://tinyurl.com/yy7ya4g9/BE/0880_bdg_erw.kml" TargetMode="External"/><Relationship Id="rId228" Type="http://schemas.openxmlformats.org/officeDocument/2006/relationships/hyperlink" Target="https://map.geo.admin.ch/?zoom=13&amp;E=2613389.25&amp;N=1211526.375&amp;layers=ch.kantone.cadastralwebmap-farbe,ch.swisstopo.amtliches-strassenverzeichnis,ch.bfs.gebaeude_wohnungs_register,KML||https://tinyurl.com/yy7ya4g9/BE/0404_bdg_erw.kml" TargetMode="External"/><Relationship Id="rId435" Type="http://schemas.openxmlformats.org/officeDocument/2006/relationships/hyperlink" Target="https://map.geo.admin.ch/?zoom=13&amp;E=2622263&amp;N=1160516&amp;layers=ch.kantone.cadastralwebmap-farbe,ch.swisstopo.amtliches-strassenverzeichnis,ch.bfs.gebaeude_wohnungs_register,KML||https://tinyurl.com/yy7ya4g9/BE/0567_bdg_erw.kml" TargetMode="External"/><Relationship Id="rId642" Type="http://schemas.openxmlformats.org/officeDocument/2006/relationships/hyperlink" Target="https://map.geo.admin.ch/?zoom=13&amp;E=2608864&amp;N=1167504.125&amp;layers=ch.kantone.cadastralwebmap-farbe,ch.swisstopo.amtliches-strassenverzeichnis,ch.bfs.gebaeude_wohnungs_register,KML||https://tinyurl.com/yy7ya4g9/BE/0763_bdg_erw.kml" TargetMode="External"/><Relationship Id="rId1065" Type="http://schemas.openxmlformats.org/officeDocument/2006/relationships/hyperlink" Target="https://map.geo.admin.ch/?zoom=13&amp;E=2624509.593&amp;N=1216037.988&amp;layers=ch.kantone.cadastralwebmap-farbe,ch.swisstopo.amtliches-strassenverzeichnis,ch.bfs.gebaeude_wohnungs_register,KML||https://tinyurl.com/yy7ya4g9/BE/0959_bdg_erw.kml" TargetMode="External"/><Relationship Id="rId502" Type="http://schemas.openxmlformats.org/officeDocument/2006/relationships/hyperlink" Target="https://map.geo.admin.ch/?zoom=13&amp;E=2609207.75&amp;N=1192294.125&amp;layers=ch.kantone.cadastralwebmap-farbe,ch.swisstopo.amtliches-strassenverzeichnis,ch.bfs.gebaeude_wohnungs_register,KML||https://tinyurl.com/yy7ya4g9/BE/0616_bdg_erw.kml" TargetMode="External"/><Relationship Id="rId947" Type="http://schemas.openxmlformats.org/officeDocument/2006/relationships/hyperlink" Target="https://map.geo.admin.ch/?zoom=13&amp;E=2615648.505&amp;N=1181860.872&amp;layers=ch.kantone.cadastralwebmap-farbe,ch.swisstopo.amtliches-strassenverzeichnis,ch.bfs.gebaeude_wohnungs_register,KML||https://tinyurl.com/yy7ya4g9/BE/0939_bdg_erw.kml" TargetMode="External"/><Relationship Id="rId1132" Type="http://schemas.openxmlformats.org/officeDocument/2006/relationships/hyperlink" Target="https://map.geo.admin.ch/?zoom=13&amp;E=2615866.25&amp;N=1231187.625&amp;layers=ch.kantone.cadastralwebmap-farbe,ch.swisstopo.amtliches-strassenverzeichnis,ch.bfs.gebaeude_wohnungs_register,KML||https://tinyurl.com/yy7ya4g9/BE/0992_bdg_erw.kml" TargetMode="External"/><Relationship Id="rId76" Type="http://schemas.openxmlformats.org/officeDocument/2006/relationships/hyperlink" Target="https://map.geo.admin.ch/?zoom=13&amp;E=2627399&amp;N=1231826&amp;layers=ch.kantone.cadastralwebmap-farbe,ch.swisstopo.amtliches-strassenverzeichnis,ch.bfs.gebaeude_wohnungs_register,KML||https://tinyurl.com/yy7ya4g9/BE/0337_bdg_erw.kml" TargetMode="External"/><Relationship Id="rId807" Type="http://schemas.openxmlformats.org/officeDocument/2006/relationships/hyperlink" Target="https://map.geo.admin.ch/?zoom=13&amp;E=2604705&amp;N=1179098&amp;layers=ch.kantone.cadastralwebmap-farbe,ch.swisstopo.amtliches-strassenverzeichnis,ch.bfs.gebaeude_wohnungs_register,KML||https://tinyurl.com/yy7ya4g9/BE/0886_bdg_erw.kml" TargetMode="External"/><Relationship Id="rId292" Type="http://schemas.openxmlformats.org/officeDocument/2006/relationships/hyperlink" Target="https://map.geo.admin.ch/?zoom=13&amp;E=2580566.5&amp;N=1227488.5&amp;layers=ch.kantone.cadastralwebmap-farbe,ch.swisstopo.amtliches-strassenverzeichnis,ch.bfs.gebaeude_wohnungs_register,KML||https://tinyurl.com/yy7ya4g9/BE/0444_bdg_erw.kml" TargetMode="External"/><Relationship Id="rId597" Type="http://schemas.openxmlformats.org/officeDocument/2006/relationships/hyperlink" Target="https://map.geo.admin.ch/?zoom=13&amp;E=2591949.189&amp;N=1222712.621&amp;layers=ch.kantone.cadastralwebmap-farbe,ch.swisstopo.amtliches-strassenverzeichnis,ch.bfs.gebaeude_wohnungs_register,KML||https://tinyurl.com/yy7ya4g9/BE/0746_bdg_erw.kml" TargetMode="External"/><Relationship Id="rId152" Type="http://schemas.openxmlformats.org/officeDocument/2006/relationships/hyperlink" Target="https://map.geo.admin.ch/?zoom=13&amp;E=2588387.7&amp;N=1222584.193&amp;layers=ch.kantone.cadastralwebmap-farbe,ch.swisstopo.amtliches-strassenverzeichnis,ch.bfs.gebaeude_wohnungs_register,KML||https://tinyurl.com/yy7ya4g9/BE/0371_bdg_erw.kml" TargetMode="External"/><Relationship Id="rId457" Type="http://schemas.openxmlformats.org/officeDocument/2006/relationships/hyperlink" Target="https://map.geo.admin.ch/?zoom=13&amp;E=2634829.149&amp;N=1168033.743&amp;layers=ch.kantone.cadastralwebmap-farbe,ch.swisstopo.amtliches-strassenverzeichnis,ch.bfs.gebaeude_wohnungs_register,KML||https://tinyurl.com/yy7ya4g9/BE/0577_bdg_erw.kml" TargetMode="External"/><Relationship Id="rId1087" Type="http://schemas.openxmlformats.org/officeDocument/2006/relationships/hyperlink" Target="https://map.geo.admin.ch/?zoom=13&amp;E=2618336.25&amp;N=1231066.625&amp;layers=ch.kantone.cadastralwebmap-farbe,ch.swisstopo.amtliches-strassenverzeichnis,ch.bfs.gebaeude_wohnungs_register,KML||https://tinyurl.com/yy7ya4g9/BE/0991_bdg_erw.kml" TargetMode="External"/><Relationship Id="rId664" Type="http://schemas.openxmlformats.org/officeDocument/2006/relationships/hyperlink" Target="https://map.geo.admin.ch/?zoom=13&amp;E=2595849.5&amp;N=1152360.125&amp;layers=ch.kantone.cadastralwebmap-farbe,ch.swisstopo.amtliches-strassenverzeichnis,ch.bfs.gebaeude_wohnungs_register,KML||https://tinyurl.com/yy7ya4g9/BE/0793_bdg_erw.kml" TargetMode="External"/><Relationship Id="rId871" Type="http://schemas.openxmlformats.org/officeDocument/2006/relationships/hyperlink" Target="https://map.geo.admin.ch/?zoom=13&amp;E=2626807&amp;N=1199058&amp;layers=ch.kantone.cadastralwebmap-farbe,ch.swisstopo.amtliches-strassenverzeichnis,ch.bfs.gebaeude_wohnungs_register,KML||https://tinyurl.com/yy7ya4g9/BE/0902_bdg_erw.kml" TargetMode="External"/><Relationship Id="rId969" Type="http://schemas.openxmlformats.org/officeDocument/2006/relationships/hyperlink" Target="https://map.geo.admin.ch/?zoom=13&amp;E=2610324.53&amp;N=1180149.568&amp;layers=ch.kantone.cadastralwebmap-farbe,ch.swisstopo.amtliches-strassenverzeichnis,ch.bfs.gebaeude_wohnungs_register,KML||https://tinyurl.com/yy7ya4g9/BE/0944_bdg_erw.kml" TargetMode="External"/><Relationship Id="rId317" Type="http://schemas.openxmlformats.org/officeDocument/2006/relationships/hyperlink" Target="https://map.geo.admin.ch/?zoom=13&amp;E=2605960&amp;N=1210968.875&amp;layers=ch.kantone.cadastralwebmap-farbe,ch.swisstopo.amtliches-strassenverzeichnis,ch.bfs.gebaeude_wohnungs_register,KML||https://tinyurl.com/yy7ya4g9/BE/0540_bdg_erw.kml" TargetMode="External"/><Relationship Id="rId524" Type="http://schemas.openxmlformats.org/officeDocument/2006/relationships/hyperlink" Target="https://map.geo.admin.ch/?zoom=13&amp;E=2611816.1&amp;N=1198471.7&amp;layers=ch.kantone.cadastralwebmap-farbe,ch.swisstopo.amtliches-strassenverzeichnis,ch.bfs.gebaeude_wohnungs_register,KML||https://tinyurl.com/yy7ya4g9/BE/0627_bdg_erw.kml" TargetMode="External"/><Relationship Id="rId731" Type="http://schemas.openxmlformats.org/officeDocument/2006/relationships/hyperlink" Target="https://map.geo.admin.ch/?zoom=13&amp;E=2607877&amp;N=1183432&amp;layers=ch.kantone.cadastralwebmap-farbe,ch.swisstopo.amtliches-strassenverzeichnis,ch.bfs.gebaeude_wohnungs_register,KML||https://tinyurl.com/yy7ya4g9/BE/0872_bdg_erw.kml" TargetMode="External"/><Relationship Id="rId98" Type="http://schemas.openxmlformats.org/officeDocument/2006/relationships/hyperlink" Target="https://map.geo.admin.ch/?zoom=13&amp;E=2600414.65&amp;N=1199631.41&amp;layers=ch.kantone.cadastralwebmap-farbe,ch.swisstopo.amtliches-strassenverzeichnis,ch.bfs.gebaeude_wohnungs_register,KML||https://tinyurl.com/yy7ya4g9/BE/0351_bdg_erw.kml" TargetMode="External"/><Relationship Id="rId829" Type="http://schemas.openxmlformats.org/officeDocument/2006/relationships/hyperlink" Target="https://map.geo.admin.ch/?zoom=13&amp;E=2605234&amp;N=1179156&amp;layers=ch.kantone.cadastralwebmap-farbe,ch.swisstopo.amtliches-strassenverzeichnis,ch.bfs.gebaeude_wohnungs_register,KML||https://tinyurl.com/yy7ya4g9/BE/0886_bdg_erw.kml" TargetMode="External"/><Relationship Id="rId1014" Type="http://schemas.openxmlformats.org/officeDocument/2006/relationships/hyperlink" Target="https://map.geo.admin.ch/?zoom=13&amp;E=2616640.75&amp;N=1207734.125&amp;layers=ch.kantone.cadastralwebmap-farbe,ch.swisstopo.amtliches-strassenverzeichnis,ch.bfs.gebaeude_wohnungs_register,KML||https://tinyurl.com/yy7ya4g9/BE/0956_bdg_erw.kml" TargetMode="External"/><Relationship Id="rId25" Type="http://schemas.openxmlformats.org/officeDocument/2006/relationships/hyperlink" Target="https://map.geo.admin.ch/?zoom=13&amp;E=2589761&amp;N=1212997&amp;layers=ch.kantone.cadastralwebmap-farbe,ch.swisstopo.amtliches-strassenverzeichnis,ch.bfs.gebaeude_wohnungs_register,KML||https://tinyurl.com/yy7ya4g9/BE/0306_bdg_erw.kml" TargetMode="External"/><Relationship Id="rId174" Type="http://schemas.openxmlformats.org/officeDocument/2006/relationships/hyperlink" Target="https://map.geo.admin.ch/?zoom=13&amp;E=2588312.317&amp;N=1223085.993&amp;layers=ch.kantone.cadastralwebmap-farbe,ch.swisstopo.amtliches-strassenverzeichnis,ch.bfs.gebaeude_wohnungs_register,KML||https://tinyurl.com/yy7ya4g9/BE/0371_bdg_erw.kml" TargetMode="External"/><Relationship Id="rId381" Type="http://schemas.openxmlformats.org/officeDocument/2006/relationships/hyperlink" Target="https://map.geo.admin.ch/?zoom=13&amp;E=2610538.75&amp;N=1152790.125&amp;layers=ch.kantone.cadastralwebmap-farbe,ch.swisstopo.amtliches-strassenverzeichnis,ch.bfs.gebaeude_wohnungs_register,KML||https://tinyurl.com/yy7ya4g9/BE/0563_bdg_erw.kml" TargetMode="External"/><Relationship Id="rId241" Type="http://schemas.openxmlformats.org/officeDocument/2006/relationships/hyperlink" Target="https://map.geo.admin.ch/?zoom=13&amp;E=2614391.807&amp;N=1212479.758&amp;layers=ch.kantone.cadastralwebmap-farbe,ch.swisstopo.amtliches-strassenverzeichnis,ch.bfs.gebaeude_wohnungs_register,KML||https://tinyurl.com/yy7ya4g9/BE/0404_bdg_erw.kml" TargetMode="External"/><Relationship Id="rId479" Type="http://schemas.openxmlformats.org/officeDocument/2006/relationships/hyperlink" Target="https://map.geo.admin.ch/?zoom=13&amp;E=2629731.092&amp;N=1165721.676&amp;layers=ch.kantone.cadastralwebmap-farbe,ch.swisstopo.amtliches-strassenverzeichnis,ch.bfs.gebaeude_wohnungs_register,KML||https://tinyurl.com/yy7ya4g9/BE/0591_bdg_erw.kml" TargetMode="External"/><Relationship Id="rId686" Type="http://schemas.openxmlformats.org/officeDocument/2006/relationships/hyperlink" Target="https://map.geo.admin.ch/?zoom=13&amp;E=2594989.019&amp;N=1180445.88&amp;layers=ch.kantone.cadastralwebmap-farbe,ch.swisstopo.amtliches-strassenverzeichnis,ch.bfs.gebaeude_wohnungs_register,KML||https://tinyurl.com/yy7ya4g9/BE/0853_bdg_erw.kml" TargetMode="External"/><Relationship Id="rId893" Type="http://schemas.openxmlformats.org/officeDocument/2006/relationships/hyperlink" Target="https://map.geo.admin.ch/?zoom=13&amp;E=2606790&amp;N=1176863&amp;layers=ch.kantone.cadastralwebmap-farbe,ch.swisstopo.amtliches-strassenverzeichnis,ch.bfs.gebaeude_wohnungs_register,KML||https://tinyurl.com/yy7ya4g9/BE/0922_bdg_erw.k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594937.149&amp;N=1225290.553&amp;layers=ch.kantone.cadastralwebmap-farbe,ch.swisstopo.amtliches-strassenverzeichnis,ch.bfs.gebaeude_wohnungs_register,KML||https://tinyurl.com/yy7ya4g9/BE/0387_bdg_erw.kml" TargetMode="External"/><Relationship Id="rId299" Type="http://schemas.openxmlformats.org/officeDocument/2006/relationships/hyperlink" Target="https://map.geo.admin.ch/?zoom=13&amp;E=2614466.892&amp;N=1176012.476&amp;layers=ch.kantone.cadastralwebmap-farbe,ch.swisstopo.amtliches-strassenverzeichnis,ch.bfs.gebaeude_wohnungs_register,KML||https://tinyurl.com/yy7ya4g9/BE/0942_bdg_erw.kml" TargetMode="External"/><Relationship Id="rId21" Type="http://schemas.openxmlformats.org/officeDocument/2006/relationships/hyperlink" Target="https://map.geo.admin.ch/?zoom=13&amp;E=2600132.149&amp;N=1198744.995&amp;layers=ch.kantone.cadastralwebmap-farbe,ch.swisstopo.amtliches-strassenverzeichnis,ch.bfs.gebaeude_wohnungs_register,KML||https://tinyurl.com/yy7ya4g9/BE/0351_bdg_erw.kml" TargetMode="External"/><Relationship Id="rId63" Type="http://schemas.openxmlformats.org/officeDocument/2006/relationships/hyperlink" Target="https://map.geo.admin.ch/?zoom=13&amp;E=2595724.738&amp;N=1194205.054&amp;layers=ch.kantone.cadastralwebmap-farbe,ch.swisstopo.amtliches-strassenverzeichnis,ch.bfs.gebaeude_wohnungs_register,KML||https://tinyurl.com/yy7ya4g9/BE/0355_bdg_erw.kml" TargetMode="External"/><Relationship Id="rId159" Type="http://schemas.openxmlformats.org/officeDocument/2006/relationships/hyperlink" Target="https://map.geo.admin.ch/?zoom=13&amp;E=2604414.628&amp;N=1217389.528&amp;layers=ch.kantone.cadastralwebmap-farbe,ch.swisstopo.amtliches-strassenverzeichnis,ch.bfs.gebaeude_wohnungs_register,KML||https://tinyurl.com/yy7ya4g9/BE/0538_bdg_erw.kml" TargetMode="External"/><Relationship Id="rId324" Type="http://schemas.openxmlformats.org/officeDocument/2006/relationships/hyperlink" Target="https://map.geo.admin.ch/?zoom=13&amp;E=2623483.553&amp;N=1208554.133&amp;layers=ch.kantone.cadastralwebmap-farbe,ch.swisstopo.amtliches-strassenverzeichnis,ch.bfs.gebaeude_wohnungs_register,KML||https://tinyurl.com/yy7ya4g9/BE/0957_bdg_erw.kml" TargetMode="External"/><Relationship Id="rId170" Type="http://schemas.openxmlformats.org/officeDocument/2006/relationships/hyperlink" Target="https://map.geo.admin.ch/?zoom=13&amp;E=2602188.949&amp;N=1208874.208&amp;layers=ch.kantone.cadastralwebmap-farbe,ch.swisstopo.amtliches-strassenverzeichnis,ch.bfs.gebaeude_wohnungs_register,KML||https://tinyurl.com/yy7ya4g9/BE/0553_bdg_erw.kml" TargetMode="External"/><Relationship Id="rId226" Type="http://schemas.openxmlformats.org/officeDocument/2006/relationships/hyperlink" Target="https://map.geo.admin.ch/?zoom=13&amp;E=2590895.556&amp;N=1222026.864&amp;layers=ch.kantone.cadastralwebmap-farbe,ch.swisstopo.amtliches-strassenverzeichnis,ch.bfs.gebaeude_wohnungs_register,KML||https://tinyurl.com/yy7ya4g9/BE/0746_bdg_erw.kml" TargetMode="External"/><Relationship Id="rId268" Type="http://schemas.openxmlformats.org/officeDocument/2006/relationships/hyperlink" Target="https://map.geo.admin.ch/?zoom=13&amp;E=2626296.68&amp;N=1193012.161&amp;layers=ch.kantone.cadastralwebmap-farbe,ch.swisstopo.amtliches-strassenverzeichnis,ch.bfs.gebaeude_wohnungs_register,KML||https://tinyurl.com/yy7ya4g9/BE/0901_bdg_erw.kml" TargetMode="External"/><Relationship Id="rId32" Type="http://schemas.openxmlformats.org/officeDocument/2006/relationships/hyperlink" Target="https://map.geo.admin.ch/?zoom=13&amp;E=2599142.823&amp;N=1198611.308&amp;layers=ch.kantone.cadastralwebmap-farbe,ch.swisstopo.amtliches-strassenverzeichnis,ch.bfs.gebaeude_wohnungs_register,KML||https://tinyurl.com/yy7ya4g9/BE/0351_bdg_erw.kml" TargetMode="External"/><Relationship Id="rId74" Type="http://schemas.openxmlformats.org/officeDocument/2006/relationships/hyperlink" Target="https://map.geo.admin.ch/?zoom=13&amp;E=2609841.897&amp;N=1201138.97&amp;layers=ch.kantone.cadastralwebmap-farbe,ch.swisstopo.amtliches-strassenverzeichnis,ch.bfs.gebaeude_wohnungs_register,KML||https://tinyurl.com/yy7ya4g9/BE/0359_bdg_erw.kml" TargetMode="External"/><Relationship Id="rId128" Type="http://schemas.openxmlformats.org/officeDocument/2006/relationships/hyperlink" Target="https://map.geo.admin.ch/?zoom=13&amp;E=2612630.629&amp;N=1212956.408&amp;layers=ch.kantone.cadastralwebmap-farbe,ch.swisstopo.amtliches-strassenverzeichnis,ch.bfs.gebaeude_wohnungs_register,KML||https://tinyurl.com/yy7ya4g9/BE/0404_bdg_erw.kml" TargetMode="External"/><Relationship Id="rId335" Type="http://schemas.openxmlformats.org/officeDocument/2006/relationships/hyperlink" Target="https://map.geo.admin.ch/?zoom=13&amp;E=2619937.497&amp;N=1227325.276&amp;layers=ch.kantone.cadastralwebmap-farbe,ch.swisstopo.amtliches-strassenverzeichnis,ch.bfs.gebaeude_wohnungs_register,KML||https://tinyurl.com/yy7ya4g9/BE/0979_bdg_erw.kml" TargetMode="External"/><Relationship Id="rId5" Type="http://schemas.openxmlformats.org/officeDocument/2006/relationships/hyperlink" Target="https://map.geo.admin.ch/?zoom=13&amp;E=2589385.926&amp;N=1213871.737&amp;layers=ch.kantone.cadastralwebmap-farbe,ch.swisstopo.amtliches-strassenverzeichnis,ch.bfs.gebaeude_wohnungs_register,KML||https://tinyurl.com/yy7ya4g9/BE/0306_bdg_erw.kml" TargetMode="External"/><Relationship Id="rId181" Type="http://schemas.openxmlformats.org/officeDocument/2006/relationships/hyperlink" Target="https://map.geo.admin.ch/?zoom=13&amp;E=2633089.044&amp;N=1168606.807&amp;layers=ch.kantone.cadastralwebmap-farbe,ch.swisstopo.amtliches-strassenverzeichnis,ch.bfs.gebaeude_wohnungs_register,KML||https://tinyurl.com/yy7ya4g9/BE/0594_bdg_erw.kml" TargetMode="External"/><Relationship Id="rId237" Type="http://schemas.openxmlformats.org/officeDocument/2006/relationships/hyperlink" Target="https://map.geo.admin.ch/?zoom=13&amp;E=2597539.152&amp;N=1141618.903&amp;layers=ch.kantone.cadastralwebmap-farbe,ch.swisstopo.amtliches-strassenverzeichnis,ch.bfs.gebaeude_wohnungs_register,KML||https://tinyurl.com/yy7ya4g9/BE/0792_bdg_erw.kml" TargetMode="External"/><Relationship Id="rId279" Type="http://schemas.openxmlformats.org/officeDocument/2006/relationships/hyperlink" Target="https://map.geo.admin.ch/?zoom=13&amp;E=2630402.305&amp;N=1196763.771&amp;layers=ch.kantone.cadastralwebmap-farbe,ch.swisstopo.amtliches-strassenverzeichnis,ch.bfs.gebaeude_wohnungs_register,KML||https://tinyurl.com/yy7ya4g9/BE/0909_bdg_erw.kml" TargetMode="External"/><Relationship Id="rId43" Type="http://schemas.openxmlformats.org/officeDocument/2006/relationships/hyperlink" Target="https://map.geo.admin.ch/?zoom=13&amp;E=2598743.103&amp;N=1199339.019&amp;layers=ch.kantone.cadastralwebmap-farbe,ch.swisstopo.amtliches-strassenverzeichnis,ch.bfs.gebaeude_wohnungs_register,KML||https://tinyurl.com/yy7ya4g9/BE/0351_bdg_erw.kml" TargetMode="External"/><Relationship Id="rId139" Type="http://schemas.openxmlformats.org/officeDocument/2006/relationships/hyperlink" Target="https://map.geo.admin.ch/?zoom=13&amp;E=2613409.565&amp;N=1219917.78&amp;layers=ch.kantone.cadastralwebmap-farbe,ch.swisstopo.amtliches-strassenverzeichnis,ch.bfs.gebaeude_wohnungs_register,KML||https://tinyurl.com/yy7ya4g9/BE/0413_bdg_erw.kml" TargetMode="External"/><Relationship Id="rId290" Type="http://schemas.openxmlformats.org/officeDocument/2006/relationships/hyperlink" Target="https://map.geo.admin.ch/?zoom=13&amp;E=2621082.505&amp;N=1174188.861&amp;layers=ch.kantone.cadastralwebmap-farbe,ch.swisstopo.amtliches-strassenverzeichnis,ch.bfs.gebaeude_wohnungs_register,KML||https://tinyurl.com/yy7ya4g9/BE/0938_bdg_erw.kml" TargetMode="External"/><Relationship Id="rId304" Type="http://schemas.openxmlformats.org/officeDocument/2006/relationships/hyperlink" Target="https://map.geo.admin.ch/?zoom=13&amp;E=2630802.463&amp;N=1212914.469&amp;layers=ch.kantone.cadastralwebmap-farbe,ch.swisstopo.amtliches-strassenverzeichnis,ch.bfs.gebaeude_wohnungs_register,KML||https://tinyurl.com/yy7ya4g9/BE/0953_bdg_erw.kml" TargetMode="External"/><Relationship Id="rId85" Type="http://schemas.openxmlformats.org/officeDocument/2006/relationships/hyperlink" Target="https://map.geo.admin.ch/?zoom=13&amp;E=2602545.019&amp;N=1202123.475&amp;layers=ch.kantone.cadastralwebmap-farbe,ch.swisstopo.amtliches-strassenverzeichnis,ch.bfs.gebaeude_wohnungs_register,KML||https://tinyurl.com/yy7ya4g9/BE/0362_bdg_erw.kml" TargetMode="External"/><Relationship Id="rId150" Type="http://schemas.openxmlformats.org/officeDocument/2006/relationships/hyperlink" Target="https://map.geo.admin.ch/?zoom=13&amp;E=2567857.319&amp;N=1222884.908&amp;layers=ch.kantone.cadastralwebmap-farbe,ch.swisstopo.amtliches-strassenverzeichnis,ch.bfs.gebaeude_wohnungs_register,KML||https://tinyurl.com/yy7ya4g9/BE/0448_bdg_erw.kml" TargetMode="External"/><Relationship Id="rId192" Type="http://schemas.openxmlformats.org/officeDocument/2006/relationships/hyperlink" Target="https://map.geo.admin.ch/?zoom=13&amp;E=2618019.473&amp;N=1191478.441&amp;layers=ch.kantone.cadastralwebmap-farbe,ch.swisstopo.amtliches-strassenverzeichnis,ch.bfs.gebaeude_wohnungs_register,KML||https://tinyurl.com/yy7ya4g9/BE/0629_bdg_erw.kml" TargetMode="External"/><Relationship Id="rId206" Type="http://schemas.openxmlformats.org/officeDocument/2006/relationships/hyperlink" Target="https://map.geo.admin.ch/?zoom=13&amp;E=2579364.427&amp;N=1219576.914&amp;layers=ch.kantone.cadastralwebmap-farbe,ch.swisstopo.amtliches-strassenverzeichnis,ch.bfs.gebaeude_wohnungs_register,KML||https://tinyurl.com/yy7ya4g9/BE/0726_bdg_erw.kml" TargetMode="External"/><Relationship Id="rId248" Type="http://schemas.openxmlformats.org/officeDocument/2006/relationships/hyperlink" Target="https://map.geo.admin.ch/?zoom=13&amp;E=2592241.305&amp;N=1184829.393&amp;layers=ch.kantone.cadastralwebmap-farbe,ch.swisstopo.amtliches-strassenverzeichnis,ch.bfs.gebaeude_wohnungs_register,KML||https://tinyurl.com/yy7ya4g9/BE/0855_bdg_erw.kml" TargetMode="External"/><Relationship Id="rId12" Type="http://schemas.openxmlformats.org/officeDocument/2006/relationships/hyperlink" Target="https://map.geo.admin.ch/?zoom=13&amp;E=2625646.668&amp;N=1230132.451&amp;layers=ch.kantone.cadastralwebmap-farbe,ch.swisstopo.amtliches-strassenverzeichnis,ch.bfs.gebaeude_wohnungs_register,KML||https://tinyurl.com/yy7ya4g9/BE/0329_bdg_erw.kml" TargetMode="External"/><Relationship Id="rId108" Type="http://schemas.openxmlformats.org/officeDocument/2006/relationships/hyperlink" Target="https://map.geo.admin.ch/?zoom=13&amp;E=2587568.48&amp;N=1222254.516&amp;layers=ch.kantone.cadastralwebmap-farbe,ch.swisstopo.amtliches-strassenverzeichnis,ch.bfs.gebaeude_wohnungs_register,KML||https://tinyurl.com/yy7ya4g9/BE/0371_bdg_erw.kml" TargetMode="External"/><Relationship Id="rId315" Type="http://schemas.openxmlformats.org/officeDocument/2006/relationships/hyperlink" Target="https://map.geo.admin.ch/?zoom=13&amp;E=2627277.374&amp;N=1209759.301&amp;layers=ch.kantone.cadastralwebmap-farbe,ch.swisstopo.amtliches-strassenverzeichnis,ch.bfs.gebaeude_wohnungs_register,KML||https://tinyurl.com/yy7ya4g9/BE/0957_bdg_erw.kml" TargetMode="External"/><Relationship Id="rId54" Type="http://schemas.openxmlformats.org/officeDocument/2006/relationships/hyperlink" Target="https://map.geo.admin.ch/?zoom=13&amp;E=2598151.755&amp;N=1202414.043&amp;layers=ch.kantone.cadastralwebmap-farbe,ch.swisstopo.amtliches-strassenverzeichnis,ch.bfs.gebaeude_wohnungs_register,KML||https://tinyurl.com/yy7ya4g9/BE/0354_bdg_erw.kml" TargetMode="External"/><Relationship Id="rId96" Type="http://schemas.openxmlformats.org/officeDocument/2006/relationships/hyperlink" Target="https://map.geo.admin.ch/?zoom=13&amp;E=2586517.854&amp;N=1220172.26&amp;layers=ch.kantone.cadastralwebmap-farbe,ch.swisstopo.amtliches-strassenverzeichnis,ch.bfs.gebaeude_wohnungs_register,KML||https://tinyurl.com/yy7ya4g9/BE/0371_bdg_erw.kml" TargetMode="External"/><Relationship Id="rId161" Type="http://schemas.openxmlformats.org/officeDocument/2006/relationships/hyperlink" Target="https://map.geo.admin.ch/?zoom=13&amp;E=2606406.239&amp;N=1215098.456&amp;layers=ch.kantone.cadastralwebmap-farbe,ch.swisstopo.amtliches-strassenverzeichnis,ch.bfs.gebaeude_wohnungs_register,KML||https://tinyurl.com/yy7ya4g9/BE/0538_bdg_erw.kml" TargetMode="External"/><Relationship Id="rId217" Type="http://schemas.openxmlformats.org/officeDocument/2006/relationships/hyperlink" Target="https://map.geo.admin.ch/?zoom=13&amp;E=2587454.512&amp;N=1219366.821&amp;layers=ch.kantone.cadastralwebmap-farbe,ch.swisstopo.amtliches-strassenverzeichnis,ch.bfs.gebaeude_wohnungs_register,KML||https://tinyurl.com/yy7ya4g9/BE/0733_bdg_erw.kml" TargetMode="External"/><Relationship Id="rId259" Type="http://schemas.openxmlformats.org/officeDocument/2006/relationships/hyperlink" Target="https://map.geo.admin.ch/?zoom=13&amp;E=2601937.741&amp;N=1190144.008&amp;layers=ch.kantone.cadastralwebmap-farbe,ch.swisstopo.amtliches-strassenverzeichnis,ch.bfs.gebaeude_wohnungs_register,KML||https://tinyurl.com/yy7ya4g9/BE/0877_bdg_erw.kml" TargetMode="External"/><Relationship Id="rId23" Type="http://schemas.openxmlformats.org/officeDocument/2006/relationships/hyperlink" Target="https://map.geo.admin.ch/?zoom=13&amp;E=2594882.986&amp;N=1199757.462&amp;layers=ch.kantone.cadastralwebmap-farbe,ch.swisstopo.amtliches-strassenverzeichnis,ch.bfs.gebaeude_wohnungs_register,KML||https://tinyurl.com/yy7ya4g9/BE/0351_bdg_erw.kml" TargetMode="External"/><Relationship Id="rId119" Type="http://schemas.openxmlformats.org/officeDocument/2006/relationships/hyperlink" Target="https://map.geo.admin.ch/?zoom=13&amp;E=2600984.768&amp;N=1225332.205&amp;layers=ch.kantone.cadastralwebmap-farbe,ch.swisstopo.amtliches-strassenverzeichnis,ch.bfs.gebaeude_wohnungs_register,KML||https://tinyurl.com/yy7ya4g9/BE/0388_bdg_erw.kml" TargetMode="External"/><Relationship Id="rId270" Type="http://schemas.openxmlformats.org/officeDocument/2006/relationships/hyperlink" Target="https://map.geo.admin.ch/?zoom=13&amp;E=2626053.266&amp;N=1199253.704&amp;layers=ch.kantone.cadastralwebmap-farbe,ch.swisstopo.amtliches-strassenverzeichnis,ch.bfs.gebaeude_wohnungs_register,KML||https://tinyurl.com/yy7ya4g9/BE/0902_bdg_erw.kml" TargetMode="External"/><Relationship Id="rId326" Type="http://schemas.openxmlformats.org/officeDocument/2006/relationships/hyperlink" Target="https://map.geo.admin.ch/?zoom=13&amp;E=2626997.398&amp;N=1210250.608&amp;layers=ch.kantone.cadastralwebmap-farbe,ch.swisstopo.amtliches-strassenverzeichnis,ch.bfs.gebaeude_wohnungs_register,KML||https://tinyurl.com/yy7ya4g9/BE/0957_bdg_erw.kml" TargetMode="External"/><Relationship Id="rId65" Type="http://schemas.openxmlformats.org/officeDocument/2006/relationships/hyperlink" Target="https://map.geo.admin.ch/?zoom=13&amp;E=2595747.626&amp;N=1194183.843&amp;layers=ch.kantone.cadastralwebmap-farbe,ch.swisstopo.amtliches-strassenverzeichnis,ch.bfs.gebaeude_wohnungs_register,KML||https://tinyurl.com/yy7ya4g9/BE/0355_bdg_erw.kml" TargetMode="External"/><Relationship Id="rId130" Type="http://schemas.openxmlformats.org/officeDocument/2006/relationships/hyperlink" Target="https://map.geo.admin.ch/?zoom=13&amp;E=2614048.782&amp;N=1211772.61&amp;layers=ch.kantone.cadastralwebmap-farbe,ch.swisstopo.amtliches-strassenverzeichnis,ch.bfs.gebaeude_wohnungs_register,KML||https://tinyurl.com/yy7ya4g9/BE/0404_bdg_erw.kml" TargetMode="External"/><Relationship Id="rId172" Type="http://schemas.openxmlformats.org/officeDocument/2006/relationships/hyperlink" Target="https://map.geo.admin.ch/?zoom=13&amp;E=2617121.08&amp;N=1147165.583&amp;layers=ch.kantone.cadastralwebmap-farbe,ch.swisstopo.amtliches-strassenverzeichnis,ch.bfs.gebaeude_wohnungs_register,KML||https://tinyurl.com/yy7ya4g9/BE/0565_bdg_erw.kml" TargetMode="External"/><Relationship Id="rId228" Type="http://schemas.openxmlformats.org/officeDocument/2006/relationships/hyperlink" Target="https://map.geo.admin.ch/?zoom=13&amp;E=2581569.686&amp;N=1212769.989&amp;layers=ch.kantone.cadastralwebmap-farbe,ch.swisstopo.amtliches-strassenverzeichnis,ch.bfs.gebaeude_wohnungs_register,KML||https://tinyurl.com/yy7ya4g9/BE/0751_bdg_erw.kml" TargetMode="External"/><Relationship Id="rId281" Type="http://schemas.openxmlformats.org/officeDocument/2006/relationships/hyperlink" Target="https://map.geo.admin.ch/?zoom=13&amp;E=2630689.35&amp;N=1196341.106&amp;layers=ch.kantone.cadastralwebmap-farbe,ch.swisstopo.amtliches-strassenverzeichnis,ch.bfs.gebaeude_wohnungs_register,KML||https://tinyurl.com/yy7ya4g9/BE/0909_bdg_erw.kml" TargetMode="External"/><Relationship Id="rId337" Type="http://schemas.openxmlformats.org/officeDocument/2006/relationships/hyperlink" Target="https://map.geo.admin.ch/?zoom=13&amp;E=2619177.367&amp;N=1226504.984&amp;layers=ch.kantone.cadastralwebmap-farbe,ch.swisstopo.amtliches-strassenverzeichnis,ch.bfs.gebaeude_wohnungs_register,KML||https://tinyurl.com/yy7ya4g9/BE/0982_bdg_erw.kml" TargetMode="External"/><Relationship Id="rId34" Type="http://schemas.openxmlformats.org/officeDocument/2006/relationships/hyperlink" Target="https://map.geo.admin.ch/?zoom=13&amp;E=2596995.225&amp;N=1199944.252&amp;layers=ch.kantone.cadastralwebmap-farbe,ch.swisstopo.amtliches-strassenverzeichnis,ch.bfs.gebaeude_wohnungs_register,KML||https://tinyurl.com/yy7ya4g9/BE/0351_bdg_erw.kml" TargetMode="External"/><Relationship Id="rId76" Type="http://schemas.openxmlformats.org/officeDocument/2006/relationships/hyperlink" Target="https://map.geo.admin.ch/?zoom=13&amp;E=2596275.871&amp;N=1201961.604&amp;layers=ch.kantone.cadastralwebmap-farbe,ch.swisstopo.amtliches-strassenverzeichnis,ch.bfs.gebaeude_wohnungs_register,KML||https://tinyurl.com/yy7ya4g9/BE/0360_bdg_erw.kml" TargetMode="External"/><Relationship Id="rId141" Type="http://schemas.openxmlformats.org/officeDocument/2006/relationships/hyperlink" Target="https://map.geo.admin.ch/?zoom=13&amp;E=2609478.791&amp;N=1206723.386&amp;layers=ch.kantone.cadastralwebmap-farbe,ch.swisstopo.amtliches-strassenverzeichnis,ch.bfs.gebaeude_wohnungs_register,KML||https://tinyurl.com/yy7ya4g9/BE/0414_bdg_erw.kml" TargetMode="External"/><Relationship Id="rId7" Type="http://schemas.openxmlformats.org/officeDocument/2006/relationships/hyperlink" Target="https://map.geo.admin.ch/?zoom=13&amp;E=2597643.591&amp;N=1212348.622&amp;layers=ch.kantone.cadastralwebmap-farbe,ch.swisstopo.amtliches-strassenverzeichnis,ch.bfs.gebaeude_wohnungs_register,KML||https://tinyurl.com/yy7ya4g9/BE/0310_bdg_erw.kml" TargetMode="External"/><Relationship Id="rId183" Type="http://schemas.openxmlformats.org/officeDocument/2006/relationships/hyperlink" Target="https://map.geo.admin.ch/?zoom=13&amp;E=2614262.571&amp;N=1197322.469&amp;layers=ch.kantone.cadastralwebmap-farbe,ch.swisstopo.amtliches-strassenverzeichnis,ch.bfs.gebaeude_wohnungs_register,KML||https://tinyurl.com/yy7ya4g9/BE/0603_bdg_erw.kml" TargetMode="External"/><Relationship Id="rId239" Type="http://schemas.openxmlformats.org/officeDocument/2006/relationships/hyperlink" Target="https://map.geo.admin.ch/?zoom=13&amp;E=2594812.75&amp;N=1156071.299&amp;layers=ch.kantone.cadastralwebmap-farbe,ch.swisstopo.amtliches-strassenverzeichnis,ch.bfs.gebaeude_wohnungs_register,KML||https://tinyurl.com/yy7ya4g9/BE/0794_bdg_erw.kml" TargetMode="External"/><Relationship Id="rId250" Type="http://schemas.openxmlformats.org/officeDocument/2006/relationships/hyperlink" Target="https://map.geo.admin.ch/?zoom=13&amp;E=2608345.156&amp;N=1180293.063&amp;layers=ch.kantone.cadastralwebmap-farbe,ch.swisstopo.amtliches-strassenverzeichnis,ch.bfs.gebaeude_wohnungs_register,KML||https://tinyurl.com/yy7ya4g9/BE/0867_bdg_erw.kml" TargetMode="External"/><Relationship Id="rId292" Type="http://schemas.openxmlformats.org/officeDocument/2006/relationships/hyperlink" Target="https://map.geo.admin.ch/?zoom=13&amp;E=2614331.261&amp;N=1181700.661&amp;layers=ch.kantone.cadastralwebmap-farbe,ch.swisstopo.amtliches-strassenverzeichnis,ch.bfs.gebaeude_wohnungs_register,KML||https://tinyurl.com/yy7ya4g9/BE/0939_bdg_erw.kml" TargetMode="External"/><Relationship Id="rId306" Type="http://schemas.openxmlformats.org/officeDocument/2006/relationships/hyperlink" Target="https://map.geo.admin.ch/?zoom=13&amp;E=2630666.396&amp;N=1218168.792&amp;layers=ch.kantone.cadastralwebmap-farbe,ch.swisstopo.amtliches-strassenverzeichnis,ch.bfs.gebaeude_wohnungs_register,KML||https://tinyurl.com/yy7ya4g9/BE/0954_bdg_erw.kml" TargetMode="External"/><Relationship Id="rId45" Type="http://schemas.openxmlformats.org/officeDocument/2006/relationships/hyperlink" Target="https://map.geo.admin.ch/?zoom=13&amp;E=2598802.368&amp;N=1199534.431&amp;layers=ch.kantone.cadastralwebmap-farbe,ch.swisstopo.amtliches-strassenverzeichnis,ch.bfs.gebaeude_wohnungs_register,KML||https://tinyurl.com/yy7ya4g9/BE/0351_bdg_erw.kml" TargetMode="External"/><Relationship Id="rId87" Type="http://schemas.openxmlformats.org/officeDocument/2006/relationships/hyperlink" Target="https://map.geo.admin.ch/?zoom=13&amp;E=2603485.977&amp;N=1200270.693&amp;layers=ch.kantone.cadastralwebmap-farbe,ch.swisstopo.amtliches-strassenverzeichnis,ch.bfs.gebaeude_wohnungs_register,KML||https://tinyurl.com/yy7ya4g9/BE/0363_bdg_erw.kml" TargetMode="External"/><Relationship Id="rId110" Type="http://schemas.openxmlformats.org/officeDocument/2006/relationships/hyperlink" Target="https://map.geo.admin.ch/?zoom=13&amp;E=2587539.511&amp;N=1222955.8&amp;layers=ch.kantone.cadastralwebmap-farbe,ch.swisstopo.amtliches-strassenverzeichnis,ch.bfs.gebaeude_wohnungs_register,KML||https://tinyurl.com/yy7ya4g9/BE/0371_bdg_erw.kml" TargetMode="External"/><Relationship Id="rId152" Type="http://schemas.openxmlformats.org/officeDocument/2006/relationships/hyperlink" Target="https://map.geo.admin.ch/?zoom=13&amp;E=2574831.306&amp;N=1205407.212&amp;layers=ch.kantone.cadastralwebmap-farbe,ch.swisstopo.amtliches-strassenverzeichnis,ch.bfs.gebaeude_wohnungs_register,KML||https://tinyurl.com/yy7ya4g9/BE/0496_bdg_erw.kml" TargetMode="External"/><Relationship Id="rId194" Type="http://schemas.openxmlformats.org/officeDocument/2006/relationships/hyperlink" Target="https://map.geo.admin.ch/?zoom=13&amp;E=2584648.268&amp;N=1194263.024&amp;layers=ch.kantone.cadastralwebmap-farbe,ch.swisstopo.amtliches-strassenverzeichnis,ch.bfs.gebaeude_wohnungs_register,KML||https://tinyurl.com/yy7ya4g9/BE/0667_bdg_erw.kml" TargetMode="External"/><Relationship Id="rId208" Type="http://schemas.openxmlformats.org/officeDocument/2006/relationships/hyperlink" Target="https://map.geo.admin.ch/?zoom=13&amp;E=2578144.203&amp;N=1219529.791&amp;layers=ch.kantone.cadastralwebmap-farbe,ch.swisstopo.amtliches-strassenverzeichnis,ch.bfs.gebaeude_wohnungs_register,KML||https://tinyurl.com/yy7ya4g9/BE/0726_bdg_erw.kml" TargetMode="External"/><Relationship Id="rId240" Type="http://schemas.openxmlformats.org/officeDocument/2006/relationships/hyperlink" Target="https://map.geo.admin.ch/?zoom=13&amp;E=2594585.224&amp;N=1156211.257&amp;layers=ch.kantone.cadastralwebmap-farbe,ch.swisstopo.amtliches-strassenverzeichnis,ch.bfs.gebaeude_wohnungs_register,KML||https://tinyurl.com/yy7ya4g9/BE/0794_bdg_erw.kml" TargetMode="External"/><Relationship Id="rId261" Type="http://schemas.openxmlformats.org/officeDocument/2006/relationships/hyperlink" Target="https://map.geo.admin.ch/?zoom=13&amp;E=2603075.7&amp;N=1183944.045&amp;layers=ch.kantone.cadastralwebmap-farbe,ch.swisstopo.amtliches-strassenverzeichnis,ch.bfs.gebaeude_wohnungs_register,KML||https://tinyurl.com/yy7ya4g9/BE/0879_bdg_erw.kml" TargetMode="External"/><Relationship Id="rId14" Type="http://schemas.openxmlformats.org/officeDocument/2006/relationships/hyperlink" Target="https://map.geo.admin.ch/?zoom=13&amp;E=2624774.889&amp;N=1222162.929&amp;layers=ch.kantone.cadastralwebmap-farbe,ch.swisstopo.amtliches-strassenverzeichnis,ch.bfs.gebaeude_wohnungs_register,KML||https://tinyurl.com/yy7ya4g9/BE/0332_bdg_erw.kml" TargetMode="External"/><Relationship Id="rId35" Type="http://schemas.openxmlformats.org/officeDocument/2006/relationships/hyperlink" Target="https://map.geo.admin.ch/?zoom=13&amp;E=2601836.027&amp;N=1201433.918&amp;layers=ch.kantone.cadastralwebmap-farbe,ch.swisstopo.amtliches-strassenverzeichnis,ch.bfs.gebaeude_wohnungs_register,KML||https://tinyurl.com/yy7ya4g9/BE/0351_bdg_erw.kml" TargetMode="External"/><Relationship Id="rId56" Type="http://schemas.openxmlformats.org/officeDocument/2006/relationships/hyperlink" Target="https://map.geo.admin.ch/?zoom=13&amp;E=2596628.855&amp;N=1205773.983&amp;layers=ch.kantone.cadastralwebmap-farbe,ch.swisstopo.amtliches-strassenverzeichnis,ch.bfs.gebaeude_wohnungs_register,KML||https://tinyurl.com/yy7ya4g9/BE/0354_bdg_erw.kml" TargetMode="External"/><Relationship Id="rId77" Type="http://schemas.openxmlformats.org/officeDocument/2006/relationships/hyperlink" Target="https://map.geo.admin.ch/?zoom=13&amp;E=2595323.36&amp;N=1204081.232&amp;layers=ch.kantone.cadastralwebmap-farbe,ch.swisstopo.amtliches-strassenverzeichnis,ch.bfs.gebaeude_wohnungs_register,KML||https://tinyurl.com/yy7ya4g9/BE/0360_bdg_erw.kml" TargetMode="External"/><Relationship Id="rId100" Type="http://schemas.openxmlformats.org/officeDocument/2006/relationships/hyperlink" Target="https://map.geo.admin.ch/?zoom=13&amp;E=2586770.095&amp;N=1220725.503&amp;layers=ch.kantone.cadastralwebmap-farbe,ch.swisstopo.amtliches-strassenverzeichnis,ch.bfs.gebaeude_wohnungs_register,KML||https://tinyurl.com/yy7ya4g9/BE/0371_bdg_erw.kml" TargetMode="External"/><Relationship Id="rId282" Type="http://schemas.openxmlformats.org/officeDocument/2006/relationships/hyperlink" Target="https://map.geo.admin.ch/?zoom=13&amp;E=2630689.35&amp;N=1196341.106&amp;layers=ch.kantone.cadastralwebmap-farbe,ch.swisstopo.amtliches-strassenverzeichnis,ch.bfs.gebaeude_wohnungs_register,KML||https://tinyurl.com/yy7ya4g9/BE/0909_bdg_erw.kml" TargetMode="External"/><Relationship Id="rId317" Type="http://schemas.openxmlformats.org/officeDocument/2006/relationships/hyperlink" Target="https://map.geo.admin.ch/?zoom=13&amp;E=2625480.262&amp;N=1209638.237&amp;layers=ch.kantone.cadastralwebmap-farbe,ch.swisstopo.amtliches-strassenverzeichnis,ch.bfs.gebaeude_wohnungs_register,KML||https://tinyurl.com/yy7ya4g9/BE/0957_bdg_erw.kml" TargetMode="External"/><Relationship Id="rId338" Type="http://schemas.openxmlformats.org/officeDocument/2006/relationships/hyperlink" Target="https://map.geo.admin.ch/?zoom=13&amp;E=2618299.897&amp;N=1231042.102&amp;layers=ch.kantone.cadastralwebmap-farbe,ch.swisstopo.amtliches-strassenverzeichnis,ch.bfs.gebaeude_wohnungs_register,KML||https://tinyurl.com/yy7ya4g9/BE/0991_bdg_erw.kml" TargetMode="External"/><Relationship Id="rId8" Type="http://schemas.openxmlformats.org/officeDocument/2006/relationships/hyperlink" Target="https://map.geo.admin.ch/?zoom=13&amp;E=2599802.138&amp;N=1215912.125&amp;layers=ch.kantone.cadastralwebmap-farbe,ch.swisstopo.amtliches-strassenverzeichnis,ch.bfs.gebaeude_wohnungs_register,KML||https://tinyurl.com/yy7ya4g9/BE/0310_bdg_erw.kml" TargetMode="External"/><Relationship Id="rId98" Type="http://schemas.openxmlformats.org/officeDocument/2006/relationships/hyperlink" Target="https://map.geo.admin.ch/?zoom=13&amp;E=2587548.644&amp;N=1222717.02&amp;layers=ch.kantone.cadastralwebmap-farbe,ch.swisstopo.amtliches-strassenverzeichnis,ch.bfs.gebaeude_wohnungs_register,KML||https://tinyurl.com/yy7ya4g9/BE/0371_bdg_erw.kml" TargetMode="External"/><Relationship Id="rId121" Type="http://schemas.openxmlformats.org/officeDocument/2006/relationships/hyperlink" Target="https://map.geo.admin.ch/?zoom=13&amp;E=2591946.638&amp;N=1224824.064&amp;layers=ch.kantone.cadastralwebmap-farbe,ch.swisstopo.amtliches-strassenverzeichnis,ch.bfs.gebaeude_wohnungs_register,KML||https://tinyurl.com/yy7ya4g9/BE/0392_bdg_erw.kml" TargetMode="External"/><Relationship Id="rId142" Type="http://schemas.openxmlformats.org/officeDocument/2006/relationships/hyperlink" Target="https://map.geo.admin.ch/?zoom=13&amp;E=2614479.627&amp;N=1209442.111&amp;layers=ch.kantone.cadastralwebmap-farbe,ch.swisstopo.amtliches-strassenverzeichnis,ch.bfs.gebaeude_wohnungs_register,KML||https://tinyurl.com/yy7ya4g9/BE/0418_bdg_erw.kml" TargetMode="External"/><Relationship Id="rId163" Type="http://schemas.openxmlformats.org/officeDocument/2006/relationships/hyperlink" Target="https://map.geo.admin.ch/?zoom=13&amp;E=2606530.122&amp;N=1215151.136&amp;layers=ch.kantone.cadastralwebmap-farbe,ch.swisstopo.amtliches-strassenverzeichnis,ch.bfs.gebaeude_wohnungs_register,KML||https://tinyurl.com/yy7ya4g9/BE/0538_bdg_erw.kml" TargetMode="External"/><Relationship Id="rId184" Type="http://schemas.openxmlformats.org/officeDocument/2006/relationships/hyperlink" Target="https://map.geo.admin.ch/?zoom=13&amp;E=2609645.701&amp;N=1190648.406&amp;layers=ch.kantone.cadastralwebmap-farbe,ch.swisstopo.amtliches-strassenverzeichnis,ch.bfs.gebaeude_wohnungs_register,KML||https://tinyurl.com/yy7ya4g9/BE/0616_bdg_erw.kml" TargetMode="External"/><Relationship Id="rId219" Type="http://schemas.openxmlformats.org/officeDocument/2006/relationships/hyperlink" Target="https://map.geo.admin.ch/?zoom=13&amp;E=2585383.342&amp;N=1212828.97&amp;layers=ch.kantone.cadastralwebmap-farbe,ch.swisstopo.amtliches-strassenverzeichnis,ch.bfs.gebaeude_wohnungs_register,KML||https://tinyurl.com/yy7ya4g9/BE/0734_bdg_erw.kml" TargetMode="External"/><Relationship Id="rId230" Type="http://schemas.openxmlformats.org/officeDocument/2006/relationships/hyperlink" Target="https://map.geo.admin.ch/?zoom=13&amp;E=2578775.929&amp;N=1217163.297&amp;layers=ch.kantone.cadastralwebmap-farbe,ch.swisstopo.amtliches-strassenverzeichnis,ch.bfs.gebaeude_wohnungs_register,KML||https://tinyurl.com/yy7ya4g9/BE/0756_bdg_erw.kml" TargetMode="External"/><Relationship Id="rId251" Type="http://schemas.openxmlformats.org/officeDocument/2006/relationships/hyperlink" Target="https://map.geo.admin.ch/?zoom=13&amp;E=2608285.96&amp;N=1180316.991&amp;layers=ch.kantone.cadastralwebmap-farbe,ch.swisstopo.amtliches-strassenverzeichnis,ch.bfs.gebaeude_wohnungs_register,KML||https://tinyurl.com/yy7ya4g9/BE/0867_bdg_erw.kml" TargetMode="External"/><Relationship Id="rId25" Type="http://schemas.openxmlformats.org/officeDocument/2006/relationships/hyperlink" Target="https://map.geo.admin.ch/?zoom=13&amp;E=2592966.629&amp;N=1197987.243&amp;layers=ch.kantone.cadastralwebmap-farbe,ch.swisstopo.amtliches-strassenverzeichnis,ch.bfs.gebaeude_wohnungs_register,KML||https://tinyurl.com/yy7ya4g9/BE/0351_bdg_erw.kml" TargetMode="External"/><Relationship Id="rId46" Type="http://schemas.openxmlformats.org/officeDocument/2006/relationships/hyperlink" Target="https://map.geo.admin.ch/?zoom=13&amp;E=2598940.206&amp;N=1199606.895&amp;layers=ch.kantone.cadastralwebmap-farbe,ch.swisstopo.amtliches-strassenverzeichnis,ch.bfs.gebaeude_wohnungs_register,KML||https://tinyurl.com/yy7ya4g9/BE/0351_bdg_erw.kml" TargetMode="External"/><Relationship Id="rId67" Type="http://schemas.openxmlformats.org/officeDocument/2006/relationships/hyperlink" Target="https://map.geo.admin.ch/?zoom=13&amp;E=2605472.026&amp;N=1197702.612&amp;layers=ch.kantone.cadastralwebmap-farbe,ch.swisstopo.amtliches-strassenverzeichnis,ch.bfs.gebaeude_wohnungs_register,KML||https://tinyurl.com/yy7ya4g9/BE/0356_bdg_erw.kml" TargetMode="External"/><Relationship Id="rId272" Type="http://schemas.openxmlformats.org/officeDocument/2006/relationships/hyperlink" Target="https://map.geo.admin.ch/?zoom=13&amp;E=2624078.248&amp;N=1196031.254&amp;layers=ch.kantone.cadastralwebmap-farbe,ch.swisstopo.amtliches-strassenverzeichnis,ch.bfs.gebaeude_wohnungs_register,KML||https://tinyurl.com/yy7ya4g9/BE/0907_bdg_erw.kml" TargetMode="External"/><Relationship Id="rId293" Type="http://schemas.openxmlformats.org/officeDocument/2006/relationships/hyperlink" Target="https://map.geo.admin.ch/?zoom=13&amp;E=2615534.095&amp;N=1181395.392&amp;layers=ch.kantone.cadastralwebmap-farbe,ch.swisstopo.amtliches-strassenverzeichnis,ch.bfs.gebaeude_wohnungs_register,KML||https://tinyurl.com/yy7ya4g9/BE/0939_bdg_erw.kml" TargetMode="External"/><Relationship Id="rId307" Type="http://schemas.openxmlformats.org/officeDocument/2006/relationships/hyperlink" Target="https://map.geo.admin.ch/?zoom=13&amp;E=2632140.539&amp;N=1217760.571&amp;layers=ch.kantone.cadastralwebmap-farbe,ch.swisstopo.amtliches-strassenverzeichnis,ch.bfs.gebaeude_wohnungs_register,KML||https://tinyurl.com/yy7ya4g9/BE/0954_bdg_erw.kml" TargetMode="External"/><Relationship Id="rId328" Type="http://schemas.openxmlformats.org/officeDocument/2006/relationships/hyperlink" Target="https://map.geo.admin.ch/?zoom=13&amp;E=2622377.743&amp;N=1209477.907&amp;layers=ch.kantone.cadastralwebmap-farbe,ch.swisstopo.amtliches-strassenverzeichnis,ch.bfs.gebaeude_wohnungs_register,KML||https://tinyurl.com/yy7ya4g9/BE/0957_bdg_erw.kml" TargetMode="External"/><Relationship Id="rId88" Type="http://schemas.openxmlformats.org/officeDocument/2006/relationships/hyperlink" Target="https://map.geo.admin.ch/?zoom=13&amp;E=2604178.762&amp;N=1200283.459&amp;layers=ch.kantone.cadastralwebmap-farbe,ch.swisstopo.amtliches-strassenverzeichnis,ch.bfs.gebaeude_wohnungs_register,KML||https://tinyurl.com/yy7ya4g9/BE/0363_bdg_erw.kml" TargetMode="External"/><Relationship Id="rId111" Type="http://schemas.openxmlformats.org/officeDocument/2006/relationships/hyperlink" Target="https://map.geo.admin.ch/?zoom=13&amp;E=2587547.567&amp;N=1222942.963&amp;layers=ch.kantone.cadastralwebmap-farbe,ch.swisstopo.amtliches-strassenverzeichnis,ch.bfs.gebaeude_wohnungs_register,KML||https://tinyurl.com/yy7ya4g9/BE/0371_bdg_erw.kml" TargetMode="External"/><Relationship Id="rId132" Type="http://schemas.openxmlformats.org/officeDocument/2006/relationships/hyperlink" Target="https://map.geo.admin.ch/?zoom=13&amp;E=2613255.385&amp;N=1211517.194&amp;layers=ch.kantone.cadastralwebmap-farbe,ch.swisstopo.amtliches-strassenverzeichnis,ch.bfs.gebaeude_wohnungs_register,KML||https://tinyurl.com/yy7ya4g9/BE/0404_bdg_erw.kml" TargetMode="External"/><Relationship Id="rId153" Type="http://schemas.openxmlformats.org/officeDocument/2006/relationships/hyperlink" Target="https://map.geo.admin.ch/?zoom=13&amp;E=2574145.317&amp;N=1206018.556&amp;layers=ch.kantone.cadastralwebmap-farbe,ch.swisstopo.amtliches-strassenverzeichnis,ch.bfs.gebaeude_wohnungs_register,KML||https://tinyurl.com/yy7ya4g9/BE/0496_bdg_erw.kml" TargetMode="External"/><Relationship Id="rId174" Type="http://schemas.openxmlformats.org/officeDocument/2006/relationships/hyperlink" Target="https://map.geo.admin.ch/?zoom=13&amp;E=2627720.589&amp;N=1172214.026&amp;layers=ch.kantone.cadastralwebmap-farbe,ch.swisstopo.amtliches-strassenverzeichnis,ch.bfs.gebaeude_wohnungs_register,KML||https://tinyurl.com/yy7ya4g9/BE/0571_bdg_erw.kml" TargetMode="External"/><Relationship Id="rId195" Type="http://schemas.openxmlformats.org/officeDocument/2006/relationships/hyperlink" Target="https://map.geo.admin.ch/?zoom=13&amp;E=2593232.379&amp;N=1193338.362&amp;layers=ch.kantone.cadastralwebmap-farbe,ch.swisstopo.amtliches-strassenverzeichnis,ch.bfs.gebaeude_wohnungs_register,KML||https://tinyurl.com/yy7ya4g9/BE/0670_bdg_erw.kml" TargetMode="External"/><Relationship Id="rId209" Type="http://schemas.openxmlformats.org/officeDocument/2006/relationships/hyperlink" Target="https://map.geo.admin.ch/?zoom=13&amp;E=2580186.372&amp;N=1219624.631&amp;layers=ch.kantone.cadastralwebmap-farbe,ch.swisstopo.amtliches-strassenverzeichnis,ch.bfs.gebaeude_wohnungs_register,KML||https://tinyurl.com/yy7ya4g9/BE/0726_bdg_erw.kml" TargetMode="External"/><Relationship Id="rId220" Type="http://schemas.openxmlformats.org/officeDocument/2006/relationships/hyperlink" Target="https://map.geo.admin.ch/?zoom=13&amp;E=2585390.236&amp;N=1213548.269&amp;layers=ch.kantone.cadastralwebmap-farbe,ch.swisstopo.amtliches-strassenverzeichnis,ch.bfs.gebaeude_wohnungs_register,KML||https://tinyurl.com/yy7ya4g9/BE/0734_bdg_erw.kml" TargetMode="External"/><Relationship Id="rId241" Type="http://schemas.openxmlformats.org/officeDocument/2006/relationships/hyperlink" Target="https://map.geo.admin.ch/?zoom=13&amp;E=2594747.415&amp;N=1156065.246&amp;layers=ch.kantone.cadastralwebmap-farbe,ch.swisstopo.amtliches-strassenverzeichnis,ch.bfs.gebaeude_wohnungs_register,KML||https://tinyurl.com/yy7ya4g9/BE/0794_bdg_erw.kml" TargetMode="External"/><Relationship Id="rId15" Type="http://schemas.openxmlformats.org/officeDocument/2006/relationships/hyperlink" Target="https://map.geo.admin.ch/?zoom=13&amp;E=2622434.191&amp;N=1229168.664&amp;layers=ch.kantone.cadastralwebmap-farbe,ch.swisstopo.amtliches-strassenverzeichnis,ch.bfs.gebaeude_wohnungs_register,KML||https://tinyurl.com/yy7ya4g9/BE/0342_bdg_erw.kml" TargetMode="External"/><Relationship Id="rId36" Type="http://schemas.openxmlformats.org/officeDocument/2006/relationships/hyperlink" Target="https://map.geo.admin.ch/?zoom=13&amp;E=2591176.478&amp;N=1198518.174&amp;layers=ch.kantone.cadastralwebmap-farbe,ch.swisstopo.amtliches-strassenverzeichnis,ch.bfs.gebaeude_wohnungs_register,KML||https://tinyurl.com/yy7ya4g9/BE/0351_bdg_erw.kml" TargetMode="External"/><Relationship Id="rId57" Type="http://schemas.openxmlformats.org/officeDocument/2006/relationships/hyperlink" Target="https://map.geo.admin.ch/?zoom=13&amp;E=2598147.537&amp;N=1202413.593&amp;layers=ch.kantone.cadastralwebmap-farbe,ch.swisstopo.amtliches-strassenverzeichnis,ch.bfs.gebaeude_wohnungs_register,KML||https://tinyurl.com/yy7ya4g9/BE/0354_bdg_erw.kml" TargetMode="External"/><Relationship Id="rId262" Type="http://schemas.openxmlformats.org/officeDocument/2006/relationships/hyperlink" Target="https://map.geo.admin.ch/?zoom=13&amp;E=2603590.766&amp;N=1190031.466&amp;layers=ch.kantone.cadastralwebmap-farbe,ch.swisstopo.amtliches-strassenverzeichnis,ch.bfs.gebaeude_wohnungs_register,KML||https://tinyurl.com/yy7ya4g9/BE/0884_bdg_erw.kml" TargetMode="External"/><Relationship Id="rId283" Type="http://schemas.openxmlformats.org/officeDocument/2006/relationships/hyperlink" Target="https://map.geo.admin.ch/?zoom=13&amp;E=2606468.061&amp;N=1177544.318&amp;layers=ch.kantone.cadastralwebmap-farbe,ch.swisstopo.amtliches-strassenverzeichnis,ch.bfs.gebaeude_wohnungs_register,KML||https://tinyurl.com/yy7ya4g9/BE/0922_bdg_erw.kml" TargetMode="External"/><Relationship Id="rId318" Type="http://schemas.openxmlformats.org/officeDocument/2006/relationships/hyperlink" Target="https://map.geo.admin.ch/?zoom=13&amp;E=2625476.102&amp;N=1209635.367&amp;layers=ch.kantone.cadastralwebmap-farbe,ch.swisstopo.amtliches-strassenverzeichnis,ch.bfs.gebaeude_wohnungs_register,KML||https://tinyurl.com/yy7ya4g9/BE/0957_bdg_erw.kml" TargetMode="External"/><Relationship Id="rId339" Type="http://schemas.openxmlformats.org/officeDocument/2006/relationships/hyperlink" Target="https://map.geo.admin.ch/?zoom=13&amp;E=2616131.333&amp;N=1230610.929&amp;layers=ch.kantone.cadastralwebmap-farbe,ch.swisstopo.amtliches-strassenverzeichnis,ch.bfs.gebaeude_wohnungs_register,KML||https://tinyurl.com/yy7ya4g9/BE/0992_bdg_erw.kml" TargetMode="External"/><Relationship Id="rId78" Type="http://schemas.openxmlformats.org/officeDocument/2006/relationships/hyperlink" Target="https://map.geo.admin.ch/?zoom=13&amp;E=2595929.177&amp;N=1203775.529&amp;layers=ch.kantone.cadastralwebmap-farbe,ch.swisstopo.amtliches-strassenverzeichnis,ch.bfs.gebaeude_wohnungs_register,KML||https://tinyurl.com/yy7ya4g9/BE/0360_bdg_erw.kml" TargetMode="External"/><Relationship Id="rId99" Type="http://schemas.openxmlformats.org/officeDocument/2006/relationships/hyperlink" Target="https://map.geo.admin.ch/?zoom=13&amp;E=2586820.196&amp;N=1219996.704&amp;layers=ch.kantone.cadastralwebmap-farbe,ch.swisstopo.amtliches-strassenverzeichnis,ch.bfs.gebaeude_wohnungs_register,KML||https://tinyurl.com/yy7ya4g9/BE/0371_bdg_erw.kml" TargetMode="External"/><Relationship Id="rId101" Type="http://schemas.openxmlformats.org/officeDocument/2006/relationships/hyperlink" Target="https://map.geo.admin.ch/?zoom=13&amp;E=2587419.107&amp;N=1221538.619&amp;layers=ch.kantone.cadastralwebmap-farbe,ch.swisstopo.amtliches-strassenverzeichnis,ch.bfs.gebaeude_wohnungs_register,KML||https://tinyurl.com/yy7ya4g9/BE/0371_bdg_erw.kml" TargetMode="External"/><Relationship Id="rId122" Type="http://schemas.openxmlformats.org/officeDocument/2006/relationships/hyperlink" Target="https://map.geo.admin.ch/?zoom=13&amp;E=2615194.71&amp;N=1219340.892&amp;layers=ch.kantone.cadastralwebmap-farbe,ch.swisstopo.amtliches-strassenverzeichnis,ch.bfs.gebaeude_wohnungs_register,KML||https://tinyurl.com/yy7ya4g9/BE/0402_bdg_erw.kml" TargetMode="External"/><Relationship Id="rId143" Type="http://schemas.openxmlformats.org/officeDocument/2006/relationships/hyperlink" Target="https://map.geo.admin.ch/?zoom=13&amp;E=2613901.932&amp;N=1209597.267&amp;layers=ch.kantone.cadastralwebmap-farbe,ch.swisstopo.amtliches-strassenverzeichnis,ch.bfs.gebaeude_wohnungs_register,KML||https://tinyurl.com/yy7ya4g9/BE/0418_bdg_erw.kml" TargetMode="External"/><Relationship Id="rId164" Type="http://schemas.openxmlformats.org/officeDocument/2006/relationships/hyperlink" Target="https://map.geo.admin.ch/?zoom=13&amp;E=2606874.142&amp;N=1218023.827&amp;layers=ch.kantone.cadastralwebmap-farbe,ch.swisstopo.amtliches-strassenverzeichnis,ch.bfs.gebaeude_wohnungs_register,KML||https://tinyurl.com/yy7ya4g9/BE/0538_bdg_erw.kml" TargetMode="External"/><Relationship Id="rId185" Type="http://schemas.openxmlformats.org/officeDocument/2006/relationships/hyperlink" Target="https://map.geo.admin.ch/?zoom=13&amp;E=2609522.836&amp;N=1191867.09&amp;layers=ch.kantone.cadastralwebmap-farbe,ch.swisstopo.amtliches-strassenverzeichnis,ch.bfs.gebaeude_wohnungs_register,KML||https://tinyurl.com/yy7ya4g9/BE/0616_bdg_erw.kml" TargetMode="External"/><Relationship Id="rId9" Type="http://schemas.openxmlformats.org/officeDocument/2006/relationships/hyperlink" Target="https://map.geo.admin.ch/?zoom=13&amp;E=2593297.967&amp;N=1209725.015&amp;layers=ch.kantone.cadastralwebmap-farbe,ch.swisstopo.amtliches-strassenverzeichnis,ch.bfs.gebaeude_wohnungs_register,KML||https://tinyurl.com/yy7ya4g9/BE/0311_bdg_erw.kml" TargetMode="External"/><Relationship Id="rId210" Type="http://schemas.openxmlformats.org/officeDocument/2006/relationships/hyperlink" Target="https://map.geo.admin.ch/?zoom=13&amp;E=2581418.451&amp;N=1220502.893&amp;layers=ch.kantone.cadastralwebmap-farbe,ch.swisstopo.amtliches-strassenverzeichnis,ch.bfs.gebaeude_wohnungs_register,KML||https://tinyurl.com/yy7ya4g9/BE/0726_bdg_erw.kml" TargetMode="External"/><Relationship Id="rId26" Type="http://schemas.openxmlformats.org/officeDocument/2006/relationships/hyperlink" Target="https://map.geo.admin.ch/?zoom=13&amp;E=2600955.663&amp;N=1202819.194&amp;layers=ch.kantone.cadastralwebmap-farbe,ch.swisstopo.amtliches-strassenverzeichnis,ch.bfs.gebaeude_wohnungs_register,KML||https://tinyurl.com/yy7ya4g9/BE/0351_bdg_erw.kml" TargetMode="External"/><Relationship Id="rId231" Type="http://schemas.openxmlformats.org/officeDocument/2006/relationships/hyperlink" Target="https://map.geo.admin.ch/?zoom=13&amp;E=2599460.876&amp;N=1167020.623&amp;layers=ch.kantone.cadastralwebmap-farbe,ch.swisstopo.amtliches-strassenverzeichnis,ch.bfs.gebaeude_wohnungs_register,KML||https://tinyurl.com/yy7ya4g9/BE/0766_bdg_erw.kml" TargetMode="External"/><Relationship Id="rId252" Type="http://schemas.openxmlformats.org/officeDocument/2006/relationships/hyperlink" Target="https://map.geo.admin.ch/?zoom=13&amp;E=2604132.365&amp;N=1187544.471&amp;layers=ch.kantone.cadastralwebmap-farbe,ch.swisstopo.amtliches-strassenverzeichnis,ch.bfs.gebaeude_wohnungs_register,KML||https://tinyurl.com/yy7ya4g9/BE/0869_bdg_erw.kml" TargetMode="External"/><Relationship Id="rId273" Type="http://schemas.openxmlformats.org/officeDocument/2006/relationships/hyperlink" Target="https://map.geo.admin.ch/?zoom=13&amp;E=2634455.47&amp;N=1200236.581&amp;layers=ch.kantone.cadastralwebmap-farbe,ch.swisstopo.amtliches-strassenverzeichnis,ch.bfs.gebaeude_wohnungs_register,KML||https://tinyurl.com/yy7ya4g9/BE/0908_bdg_erw.kml" TargetMode="External"/><Relationship Id="rId294" Type="http://schemas.openxmlformats.org/officeDocument/2006/relationships/hyperlink" Target="https://map.geo.admin.ch/?zoom=13&amp;E=2614740.113&amp;N=1181270.061&amp;layers=ch.kantone.cadastralwebmap-farbe,ch.swisstopo.amtliches-strassenverzeichnis,ch.bfs.gebaeude_wohnungs_register,KML||https://tinyurl.com/yy7ya4g9/BE/0939_bdg_erw.kml" TargetMode="External"/><Relationship Id="rId308" Type="http://schemas.openxmlformats.org/officeDocument/2006/relationships/hyperlink" Target="https://map.geo.admin.ch/?zoom=13&amp;E=2630666.396&amp;N=1218168.792&amp;layers=ch.kantone.cadastralwebmap-farbe,ch.swisstopo.amtliches-strassenverzeichnis,ch.bfs.gebaeude_wohnungs_register,KML||https://tinyurl.com/yy7ya4g9/BE/0954_bdg_erw.kml" TargetMode="External"/><Relationship Id="rId329" Type="http://schemas.openxmlformats.org/officeDocument/2006/relationships/hyperlink" Target="https://map.geo.admin.ch/?zoom=13&amp;E=2623372.272&amp;N=1209479.11&amp;layers=ch.kantone.cadastralwebmap-farbe,ch.swisstopo.amtliches-strassenverzeichnis,ch.bfs.gebaeude_wohnungs_register,KML||https://tinyurl.com/yy7ya4g9/BE/0957_bdg_erw.kml" TargetMode="External"/><Relationship Id="rId47" Type="http://schemas.openxmlformats.org/officeDocument/2006/relationships/hyperlink" Target="https://map.geo.admin.ch/?zoom=13&amp;E=2598943.324&amp;N=1199655.035&amp;layers=ch.kantone.cadastralwebmap-farbe,ch.swisstopo.amtliches-strassenverzeichnis,ch.bfs.gebaeude_wohnungs_register,KML||https://tinyurl.com/yy7ya4g9/BE/0351_bdg_erw.kml" TargetMode="External"/><Relationship Id="rId68" Type="http://schemas.openxmlformats.org/officeDocument/2006/relationships/hyperlink" Target="https://map.geo.admin.ch/?zoom=13&amp;E=2605460.059&amp;N=1197722.816&amp;layers=ch.kantone.cadastralwebmap-farbe,ch.swisstopo.amtliches-strassenverzeichnis,ch.bfs.gebaeude_wohnungs_register,KML||https://tinyurl.com/yy7ya4g9/BE/0356_bdg_erw.kml" TargetMode="External"/><Relationship Id="rId89" Type="http://schemas.openxmlformats.org/officeDocument/2006/relationships/hyperlink" Target="https://map.geo.admin.ch/?zoom=13&amp;E=2585225.239&amp;N=1220795.841&amp;layers=ch.kantone.cadastralwebmap-farbe,ch.swisstopo.amtliches-strassenverzeichnis,ch.bfs.gebaeude_wohnungs_register,KML||https://tinyurl.com/yy7ya4g9/BE/0371_bdg_erw.kml" TargetMode="External"/><Relationship Id="rId112" Type="http://schemas.openxmlformats.org/officeDocument/2006/relationships/hyperlink" Target="https://map.geo.admin.ch/?zoom=13&amp;E=2587555.579&amp;N=1222930.096&amp;layers=ch.kantone.cadastralwebmap-farbe,ch.swisstopo.amtliches-strassenverzeichnis,ch.bfs.gebaeude_wohnungs_register,KML||https://tinyurl.com/yy7ya4g9/BE/0371_bdg_erw.kml" TargetMode="External"/><Relationship Id="rId133" Type="http://schemas.openxmlformats.org/officeDocument/2006/relationships/hyperlink" Target="https://map.geo.admin.ch/?zoom=13&amp;E=2613586.383&amp;N=1211834.116&amp;layers=ch.kantone.cadastralwebmap-farbe,ch.swisstopo.amtliches-strassenverzeichnis,ch.bfs.gebaeude_wohnungs_register,KML||https://tinyurl.com/yy7ya4g9/BE/0404_bdg_erw.kml" TargetMode="External"/><Relationship Id="rId154" Type="http://schemas.openxmlformats.org/officeDocument/2006/relationships/hyperlink" Target="https://map.geo.admin.ch/?zoom=13&amp;E=2574313.643&amp;N=1206076.417&amp;layers=ch.kantone.cadastralwebmap-farbe,ch.swisstopo.amtliches-strassenverzeichnis,ch.bfs.gebaeude_wohnungs_register,KML||https://tinyurl.com/yy7ya4g9/BE/0496_bdg_erw.kml" TargetMode="External"/><Relationship Id="rId175" Type="http://schemas.openxmlformats.org/officeDocument/2006/relationships/hyperlink" Target="https://map.geo.admin.ch/?zoom=13&amp;E=2645447.241&amp;N=1178351.824&amp;layers=ch.kantone.cadastralwebmap-farbe,ch.swisstopo.amtliches-strassenverzeichnis,ch.bfs.gebaeude_wohnungs_register,KML||https://tinyurl.com/yy7ya4g9/BE/0573_bdg_erw.kml" TargetMode="External"/><Relationship Id="rId340" Type="http://schemas.openxmlformats.org/officeDocument/2006/relationships/hyperlink" Target="https://map.geo.admin.ch/?zoom=13&amp;E=2616980.919&amp;N=1231535.559&amp;layers=ch.kantone.cadastralwebmap-farbe,ch.swisstopo.amtliches-strassenverzeichnis,ch.bfs.gebaeude_wohnungs_register,KML||https://tinyurl.com/yy7ya4g9/BE/0992_bdg_erw.kml" TargetMode="External"/><Relationship Id="rId196" Type="http://schemas.openxmlformats.org/officeDocument/2006/relationships/hyperlink" Target="https://map.geo.admin.ch/?zoom=13&amp;E=2589216.981&amp;N=1193956.209&amp;layers=ch.kantone.cadastralwebmap-farbe,ch.swisstopo.amtliches-strassenverzeichnis,ch.bfs.gebaeude_wohnungs_register,KML||https://tinyurl.com/yy7ya4g9/BE/0670_bdg_erw.kml" TargetMode="External"/><Relationship Id="rId200" Type="http://schemas.openxmlformats.org/officeDocument/2006/relationships/hyperlink" Target="https://map.geo.admin.ch/?zoom=13&amp;E=2572689.388&amp;N=1218531.068&amp;layers=ch.kantone.cadastralwebmap-farbe,ch.swisstopo.amtliches-strassenverzeichnis,ch.bfs.gebaeude_wohnungs_register,KML||https://tinyurl.com/yy7ya4g9/BE/0724_bdg_erw.kml" TargetMode="External"/><Relationship Id="rId16" Type="http://schemas.openxmlformats.org/officeDocument/2006/relationships/hyperlink" Target="https://map.geo.admin.ch/?zoom=13&amp;E=2623993&amp;N=1227764.317&amp;layers=ch.kantone.cadastralwebmap-farbe,ch.swisstopo.amtliches-strassenverzeichnis,ch.bfs.gebaeude_wohnungs_register,KML||https://tinyurl.com/yy7ya4g9/BE/0342_bdg_erw.kml" TargetMode="External"/><Relationship Id="rId221" Type="http://schemas.openxmlformats.org/officeDocument/2006/relationships/hyperlink" Target="https://map.geo.admin.ch/?zoom=13&amp;E=2582815.746&amp;N=1214405.049&amp;layers=ch.kantone.cadastralwebmap-farbe,ch.swisstopo.amtliches-strassenverzeichnis,ch.bfs.gebaeude_wohnungs_register,KML||https://tinyurl.com/yy7ya4g9/BE/0742_bdg_erw.kml" TargetMode="External"/><Relationship Id="rId242" Type="http://schemas.openxmlformats.org/officeDocument/2006/relationships/hyperlink" Target="https://map.geo.admin.ch/?zoom=13&amp;E=2594752.44&amp;N=1156041.172&amp;layers=ch.kantone.cadastralwebmap-farbe,ch.swisstopo.amtliches-strassenverzeichnis,ch.bfs.gebaeude_wohnungs_register,KML||https://tinyurl.com/yy7ya4g9/BE/0794_bdg_erw.kml" TargetMode="External"/><Relationship Id="rId263" Type="http://schemas.openxmlformats.org/officeDocument/2006/relationships/hyperlink" Target="https://map.geo.admin.ch/?zoom=13&amp;E=2603748.883&amp;N=1189808.808&amp;layers=ch.kantone.cadastralwebmap-farbe,ch.swisstopo.amtliches-strassenverzeichnis,ch.bfs.gebaeude_wohnungs_register,KML||https://tinyurl.com/yy7ya4g9/BE/0884_bdg_erw.kml" TargetMode="External"/><Relationship Id="rId284" Type="http://schemas.openxmlformats.org/officeDocument/2006/relationships/hyperlink" Target="https://map.geo.admin.ch/?zoom=13&amp;E=2612067.276&amp;N=1182702.765&amp;layers=ch.kantone.cadastralwebmap-farbe,ch.swisstopo.amtliches-strassenverzeichnis,ch.bfs.gebaeude_wohnungs_register,KML||https://tinyurl.com/yy7ya4g9/BE/0928_bdg_erw.kml" TargetMode="External"/><Relationship Id="rId319" Type="http://schemas.openxmlformats.org/officeDocument/2006/relationships/hyperlink" Target="https://map.geo.admin.ch/?zoom=13&amp;E=2628166.957&amp;N=1209986.545&amp;layers=ch.kantone.cadastralwebmap-farbe,ch.swisstopo.amtliches-strassenverzeichnis,ch.bfs.gebaeude_wohnungs_register,KML||https://tinyurl.com/yy7ya4g9/BE/0957_bdg_erw.kml" TargetMode="External"/><Relationship Id="rId37" Type="http://schemas.openxmlformats.org/officeDocument/2006/relationships/hyperlink" Target="https://map.geo.admin.ch/?zoom=13&amp;E=2599060.267&amp;N=1200592.877&amp;layers=ch.kantone.cadastralwebmap-farbe,ch.swisstopo.amtliches-strassenverzeichnis,ch.bfs.gebaeude_wohnungs_register,KML||https://tinyurl.com/yy7ya4g9/BE/0351_bdg_erw.kml" TargetMode="External"/><Relationship Id="rId58" Type="http://schemas.openxmlformats.org/officeDocument/2006/relationships/hyperlink" Target="https://map.geo.admin.ch/?zoom=13&amp;E=2597232.538&amp;N=1205393.389&amp;layers=ch.kantone.cadastralwebmap-farbe,ch.swisstopo.amtliches-strassenverzeichnis,ch.bfs.gebaeude_wohnungs_register,KML||https://tinyurl.com/yy7ya4g9/BE/0354_bdg_erw.kml" TargetMode="External"/><Relationship Id="rId79" Type="http://schemas.openxmlformats.org/officeDocument/2006/relationships/hyperlink" Target="https://map.geo.admin.ch/?zoom=13&amp;E=2588436.769&amp;N=1201994.717&amp;layers=ch.kantone.cadastralwebmap-farbe,ch.swisstopo.amtliches-strassenverzeichnis,ch.bfs.gebaeude_wohnungs_register,KML||https://tinyurl.com/yy7ya4g9/BE/0360_bdg_erw.kml" TargetMode="External"/><Relationship Id="rId102" Type="http://schemas.openxmlformats.org/officeDocument/2006/relationships/hyperlink" Target="https://map.geo.admin.ch/?zoom=13&amp;E=2588485.23&amp;N=1223393.645&amp;layers=ch.kantone.cadastralwebmap-farbe,ch.swisstopo.amtliches-strassenverzeichnis,ch.bfs.gebaeude_wohnungs_register,KML||https://tinyurl.com/yy7ya4g9/BE/0371_bdg_erw.kml" TargetMode="External"/><Relationship Id="rId123" Type="http://schemas.openxmlformats.org/officeDocument/2006/relationships/hyperlink" Target="https://map.geo.admin.ch/?zoom=13&amp;E=2606553.813&amp;N=1207546.002&amp;layers=ch.kantone.cadastralwebmap-farbe,ch.swisstopo.amtliches-strassenverzeichnis,ch.bfs.gebaeude_wohnungs_register,KML||https://tinyurl.com/yy7ya4g9/BE/0403_bdg_erw.kml" TargetMode="External"/><Relationship Id="rId144" Type="http://schemas.openxmlformats.org/officeDocument/2006/relationships/hyperlink" Target="https://map.geo.admin.ch/?zoom=13&amp;E=2612672.714&amp;N=1209123.428&amp;layers=ch.kantone.cadastralwebmap-farbe,ch.swisstopo.amtliches-strassenverzeichnis,ch.bfs.gebaeude_wohnungs_register,KML||https://tinyurl.com/yy7ya4g9/BE/0418_bdg_erw.kml" TargetMode="External"/><Relationship Id="rId330" Type="http://schemas.openxmlformats.org/officeDocument/2006/relationships/hyperlink" Target="https://map.geo.admin.ch/?zoom=13&amp;E=2623372.272&amp;N=1209479.11&amp;layers=ch.kantone.cadastralwebmap-farbe,ch.swisstopo.amtliches-strassenverzeichnis,ch.bfs.gebaeude_wohnungs_register,KML||https://tinyurl.com/yy7ya4g9/BE/0957_bdg_erw.kml" TargetMode="External"/><Relationship Id="rId90" Type="http://schemas.openxmlformats.org/officeDocument/2006/relationships/hyperlink" Target="https://map.geo.admin.ch/?zoom=13&amp;E=2586922.291&amp;N=1221398.165&amp;layers=ch.kantone.cadastralwebmap-farbe,ch.swisstopo.amtliches-strassenverzeichnis,ch.bfs.gebaeude_wohnungs_register,KML||https://tinyurl.com/yy7ya4g9/BE/0371_bdg_erw.kml" TargetMode="External"/><Relationship Id="rId165" Type="http://schemas.openxmlformats.org/officeDocument/2006/relationships/hyperlink" Target="https://map.geo.admin.ch/?zoom=13&amp;E=2608326.213&amp;N=1213699.866&amp;layers=ch.kantone.cadastralwebmap-farbe,ch.swisstopo.amtliches-strassenverzeichnis,ch.bfs.gebaeude_wohnungs_register,KML||https://tinyurl.com/yy7ya4g9/BE/0538_bdg_erw.kml" TargetMode="External"/><Relationship Id="rId186" Type="http://schemas.openxmlformats.org/officeDocument/2006/relationships/hyperlink" Target="https://map.geo.admin.ch/?zoom=13&amp;E=2608699.87&amp;N=1191173.834&amp;layers=ch.kantone.cadastralwebmap-farbe,ch.swisstopo.amtliches-strassenverzeichnis,ch.bfs.gebaeude_wohnungs_register,KML||https://tinyurl.com/yy7ya4g9/BE/0616_bdg_erw.kml" TargetMode="External"/><Relationship Id="rId211" Type="http://schemas.openxmlformats.org/officeDocument/2006/relationships/hyperlink" Target="https://map.geo.admin.ch/?zoom=13&amp;E=2578952.99&amp;N=1218957.805&amp;layers=ch.kantone.cadastralwebmap-farbe,ch.swisstopo.amtliches-strassenverzeichnis,ch.bfs.gebaeude_wohnungs_register,KML||https://tinyurl.com/yy7ya4g9/BE/0726_bdg_erw.kml" TargetMode="External"/><Relationship Id="rId232" Type="http://schemas.openxmlformats.org/officeDocument/2006/relationships/hyperlink" Target="https://map.geo.admin.ch/?zoom=13&amp;E=2610615.29&amp;N=1172891.564&amp;layers=ch.kantone.cadastralwebmap-farbe,ch.swisstopo.amtliches-strassenverzeichnis,ch.bfs.gebaeude_wohnungs_register,KML||https://tinyurl.com/yy7ya4g9/BE/0770_bdg_erw.kml" TargetMode="External"/><Relationship Id="rId253" Type="http://schemas.openxmlformats.org/officeDocument/2006/relationships/hyperlink" Target="https://map.geo.admin.ch/?zoom=13&amp;E=2604378.288&amp;N=1187524.35&amp;layers=ch.kantone.cadastralwebmap-farbe,ch.swisstopo.amtliches-strassenverzeichnis,ch.bfs.gebaeude_wohnungs_register,KML||https://tinyurl.com/yy7ya4g9/BE/0869_bdg_erw.kml" TargetMode="External"/><Relationship Id="rId274" Type="http://schemas.openxmlformats.org/officeDocument/2006/relationships/hyperlink" Target="https://map.geo.admin.ch/?zoom=13&amp;E=2636071.854&amp;N=1203113.505&amp;layers=ch.kantone.cadastralwebmap-farbe,ch.swisstopo.amtliches-strassenverzeichnis,ch.bfs.gebaeude_wohnungs_register,KML||https://tinyurl.com/yy7ya4g9/BE/0908_bdg_erw.kml" TargetMode="External"/><Relationship Id="rId295" Type="http://schemas.openxmlformats.org/officeDocument/2006/relationships/hyperlink" Target="https://map.geo.admin.ch/?zoom=13&amp;E=2613762.984&amp;N=1174903.195&amp;layers=ch.kantone.cadastralwebmap-farbe,ch.swisstopo.amtliches-strassenverzeichnis,ch.bfs.gebaeude_wohnungs_register,KML||https://tinyurl.com/yy7ya4g9/BE/0942_bdg_erw.kml" TargetMode="External"/><Relationship Id="rId309" Type="http://schemas.openxmlformats.org/officeDocument/2006/relationships/hyperlink" Target="https://map.geo.admin.ch/?zoom=13&amp;E=2621711.079&amp;N=1206282.474&amp;layers=ch.kantone.cadastralwebmap-farbe,ch.swisstopo.amtliches-strassenverzeichnis,ch.bfs.gebaeude_wohnungs_register,KML||https://tinyurl.com/yy7ya4g9/BE/0955_bdg_erw.kml" TargetMode="External"/><Relationship Id="rId27" Type="http://schemas.openxmlformats.org/officeDocument/2006/relationships/hyperlink" Target="https://map.geo.admin.ch/?zoom=13&amp;E=2598813.841&amp;N=1199745.541&amp;layers=ch.kantone.cadastralwebmap-farbe,ch.swisstopo.amtliches-strassenverzeichnis,ch.bfs.gebaeude_wohnungs_register,KML||https://tinyurl.com/yy7ya4g9/BE/0351_bdg_erw.kml" TargetMode="External"/><Relationship Id="rId48" Type="http://schemas.openxmlformats.org/officeDocument/2006/relationships/hyperlink" Target="https://map.geo.admin.ch/?zoom=13&amp;E=2599030.378&amp;N=1199426.199&amp;layers=ch.kantone.cadastralwebmap-farbe,ch.swisstopo.amtliches-strassenverzeichnis,ch.bfs.gebaeude_wohnungs_register,KML||https://tinyurl.com/yy7ya4g9/BE/0351_bdg_erw.kml" TargetMode="External"/><Relationship Id="rId69" Type="http://schemas.openxmlformats.org/officeDocument/2006/relationships/hyperlink" Target="https://map.geo.admin.ch/?zoom=13&amp;E=2604422.611&amp;N=1198381.086&amp;layers=ch.kantone.cadastralwebmap-farbe,ch.swisstopo.amtliches-strassenverzeichnis,ch.bfs.gebaeude_wohnungs_register,KML||https://tinyurl.com/yy7ya4g9/BE/0356_bdg_erw.kml" TargetMode="External"/><Relationship Id="rId113" Type="http://schemas.openxmlformats.org/officeDocument/2006/relationships/hyperlink" Target="https://map.geo.admin.ch/?zoom=13&amp;E=2594216.907&amp;N=1217371.819&amp;layers=ch.kantone.cadastralwebmap-farbe,ch.swisstopo.amtliches-strassenverzeichnis,ch.bfs.gebaeude_wohnungs_register,KML||https://tinyurl.com/yy7ya4g9/BE/0385_bdg_erw.kml" TargetMode="External"/><Relationship Id="rId134" Type="http://schemas.openxmlformats.org/officeDocument/2006/relationships/hyperlink" Target="https://map.geo.admin.ch/?zoom=13&amp;E=2614142.125&amp;N=1210808.243&amp;layers=ch.kantone.cadastralwebmap-farbe,ch.swisstopo.amtliches-strassenverzeichnis,ch.bfs.gebaeude_wohnungs_register,KML||https://tinyurl.com/yy7ya4g9/BE/0404_bdg_erw.kml" TargetMode="External"/><Relationship Id="rId320" Type="http://schemas.openxmlformats.org/officeDocument/2006/relationships/hyperlink" Target="https://map.geo.admin.ch/?zoom=13&amp;E=2624698.642&amp;N=1209660.935&amp;layers=ch.kantone.cadastralwebmap-farbe,ch.swisstopo.amtliches-strassenverzeichnis,ch.bfs.gebaeude_wohnungs_register,KML||https://tinyurl.com/yy7ya4g9/BE/0957_bdg_erw.kml" TargetMode="External"/><Relationship Id="rId80" Type="http://schemas.openxmlformats.org/officeDocument/2006/relationships/hyperlink" Target="https://map.geo.admin.ch/?zoom=13&amp;E=2600730.907&amp;N=1205300.152&amp;layers=ch.kantone.cadastralwebmap-farbe,ch.swisstopo.amtliches-strassenverzeichnis,ch.bfs.gebaeude_wohnungs_register,KML||https://tinyurl.com/yy7ya4g9/BE/0361_bdg_erw.kml" TargetMode="External"/><Relationship Id="rId155" Type="http://schemas.openxmlformats.org/officeDocument/2006/relationships/hyperlink" Target="https://map.geo.admin.ch/?zoom=13&amp;E=2577481.745&amp;N=1204776.608&amp;layers=ch.kantone.cadastralwebmap-farbe,ch.swisstopo.amtliches-strassenverzeichnis,ch.bfs.gebaeude_wohnungs_register,KML||https://tinyurl.com/yy7ya4g9/BE/0498_bdg_erw.kml" TargetMode="External"/><Relationship Id="rId176" Type="http://schemas.openxmlformats.org/officeDocument/2006/relationships/hyperlink" Target="https://map.geo.admin.ch/?zoom=13&amp;E=2632875.803&amp;N=1170998.286&amp;layers=ch.kantone.cadastralwebmap-farbe,ch.swisstopo.amtliches-strassenverzeichnis,ch.bfs.gebaeude_wohnungs_register,KML||https://tinyurl.com/yy7ya4g9/BE/0581_bdg_erw.kml" TargetMode="External"/><Relationship Id="rId197" Type="http://schemas.openxmlformats.org/officeDocument/2006/relationships/hyperlink" Target="https://map.geo.admin.ch/?zoom=13&amp;E=2599025.311&amp;N=1236852.734&amp;layers=ch.kantone.cadastralwebmap-farbe,ch.swisstopo.amtliches-strassenverzeichnis,ch.bfs.gebaeude_wohnungs_register,KML||https://tinyurl.com/yy7ya4g9/BE/0694_bdg_erw.kml" TargetMode="External"/><Relationship Id="rId341" Type="http://schemas.openxmlformats.org/officeDocument/2006/relationships/hyperlink" Target="https://map.geo.admin.ch/?zoom=13&amp;E=2616478.151&amp;N=1231609.937&amp;layers=ch.kantone.cadastralwebmap-farbe,ch.swisstopo.amtliches-strassenverzeichnis,ch.bfs.gebaeude_wohnungs_register,KML||https://tinyurl.com/yy7ya4g9/BE/0992_bdg_erw.kml" TargetMode="External"/><Relationship Id="rId201" Type="http://schemas.openxmlformats.org/officeDocument/2006/relationships/hyperlink" Target="https://map.geo.admin.ch/?zoom=13&amp;E=2575979.325&amp;N=1218199.542&amp;layers=ch.kantone.cadastralwebmap-farbe,ch.swisstopo.amtliches-strassenverzeichnis,ch.bfs.gebaeude_wohnungs_register,KML||https://tinyurl.com/yy7ya4g9/BE/0726_bdg_erw.kml" TargetMode="External"/><Relationship Id="rId222" Type="http://schemas.openxmlformats.org/officeDocument/2006/relationships/hyperlink" Target="https://map.geo.admin.ch/?zoom=13&amp;E=2582458.965&amp;N=1214639.818&amp;layers=ch.kantone.cadastralwebmap-farbe,ch.swisstopo.amtliches-strassenverzeichnis,ch.bfs.gebaeude_wohnungs_register,KML||https://tinyurl.com/yy7ya4g9/BE/0742_bdg_erw.kml" TargetMode="External"/><Relationship Id="rId243" Type="http://schemas.openxmlformats.org/officeDocument/2006/relationships/hyperlink" Target="https://map.geo.admin.ch/?zoom=13&amp;E=2596071.784&amp;N=1155979.522&amp;layers=ch.kantone.cadastralwebmap-farbe,ch.swisstopo.amtliches-strassenverzeichnis,ch.bfs.gebaeude_wohnungs_register,KML||https://tinyurl.com/yy7ya4g9/BE/0794_bdg_erw.kml" TargetMode="External"/><Relationship Id="rId264" Type="http://schemas.openxmlformats.org/officeDocument/2006/relationships/hyperlink" Target="https://map.geo.admin.ch/?zoom=13&amp;E=2605439.249&amp;N=1178088.691&amp;layers=ch.kantone.cadastralwebmap-farbe,ch.swisstopo.amtliches-strassenverzeichnis,ch.bfs.gebaeude_wohnungs_register,KML||https://tinyurl.com/yy7ya4g9/BE/0886_bdg_erw.kml" TargetMode="External"/><Relationship Id="rId285" Type="http://schemas.openxmlformats.org/officeDocument/2006/relationships/hyperlink" Target="https://map.geo.admin.ch/?zoom=13&amp;E=2613250.088&amp;N=1180308.795&amp;layers=ch.kantone.cadastralwebmap-farbe,ch.swisstopo.amtliches-strassenverzeichnis,ch.bfs.gebaeude_wohnungs_register,KML||https://tinyurl.com/yy7ya4g9/BE/0928_bdg_erw.kml" TargetMode="External"/><Relationship Id="rId17" Type="http://schemas.openxmlformats.org/officeDocument/2006/relationships/hyperlink" Target="https://map.geo.admin.ch/?zoom=13&amp;E=2623553.724&amp;N=1220073.723&amp;layers=ch.kantone.cadastralwebmap-farbe,ch.swisstopo.amtliches-strassenverzeichnis,ch.bfs.gebaeude_wohnungs_register,KML||https://tinyurl.com/yy7ya4g9/BE/0344_bdg_erw.kml" TargetMode="External"/><Relationship Id="rId38" Type="http://schemas.openxmlformats.org/officeDocument/2006/relationships/hyperlink" Target="https://map.geo.admin.ch/?zoom=13&amp;E=2602077.2&amp;N=1199675.489&amp;layers=ch.kantone.cadastralwebmap-farbe,ch.swisstopo.amtliches-strassenverzeichnis,ch.bfs.gebaeude_wohnungs_register,KML||https://tinyurl.com/yy7ya4g9/BE/0351_bdg_erw.kml" TargetMode="External"/><Relationship Id="rId59" Type="http://schemas.openxmlformats.org/officeDocument/2006/relationships/hyperlink" Target="https://map.geo.admin.ch/?zoom=13&amp;E=2596591.9&amp;N=1205728.972&amp;layers=ch.kantone.cadastralwebmap-farbe,ch.swisstopo.amtliches-strassenverzeichnis,ch.bfs.gebaeude_wohnungs_register,KML||https://tinyurl.com/yy7ya4g9/BE/0354_bdg_erw.kml" TargetMode="External"/><Relationship Id="rId103" Type="http://schemas.openxmlformats.org/officeDocument/2006/relationships/hyperlink" Target="https://map.geo.admin.ch/?zoom=13&amp;E=2586846.565&amp;N=1221131.544&amp;layers=ch.kantone.cadastralwebmap-farbe,ch.swisstopo.amtliches-strassenverzeichnis,ch.bfs.gebaeude_wohnungs_register,KML||https://tinyurl.com/yy7ya4g9/BE/0371_bdg_erw.kml" TargetMode="External"/><Relationship Id="rId124" Type="http://schemas.openxmlformats.org/officeDocument/2006/relationships/hyperlink" Target="https://map.geo.admin.ch/?zoom=13&amp;E=2614098.159&amp;N=1211248.883&amp;layers=ch.kantone.cadastralwebmap-farbe,ch.swisstopo.amtliches-strassenverzeichnis,ch.bfs.gebaeude_wohnungs_register,KML||https://tinyurl.com/yy7ya4g9/BE/0404_bdg_erw.kml" TargetMode="External"/><Relationship Id="rId310" Type="http://schemas.openxmlformats.org/officeDocument/2006/relationships/hyperlink" Target="https://map.geo.admin.ch/?zoom=13&amp;E=2617002.447&amp;N=1207661.746&amp;layers=ch.kantone.cadastralwebmap-farbe,ch.swisstopo.amtliches-strassenverzeichnis,ch.bfs.gebaeude_wohnungs_register,KML||https://tinyurl.com/yy7ya4g9/BE/0956_bdg_erw.kml" TargetMode="External"/><Relationship Id="rId70" Type="http://schemas.openxmlformats.org/officeDocument/2006/relationships/hyperlink" Target="https://map.geo.admin.ch/?zoom=13&amp;E=2604545.952&amp;N=1198864.424&amp;layers=ch.kantone.cadastralwebmap-farbe,ch.swisstopo.amtliches-strassenverzeichnis,ch.bfs.gebaeude_wohnungs_register,KML||https://tinyurl.com/yy7ya4g9/BE/0356_bdg_erw.kml" TargetMode="External"/><Relationship Id="rId91" Type="http://schemas.openxmlformats.org/officeDocument/2006/relationships/hyperlink" Target="https://map.geo.admin.ch/?zoom=13&amp;E=2588019.462&amp;N=1221633.395&amp;layers=ch.kantone.cadastralwebmap-farbe,ch.swisstopo.amtliches-strassenverzeichnis,ch.bfs.gebaeude_wohnungs_register,KML||https://tinyurl.com/yy7ya4g9/BE/0371_bdg_erw.kml" TargetMode="External"/><Relationship Id="rId145" Type="http://schemas.openxmlformats.org/officeDocument/2006/relationships/hyperlink" Target="https://map.geo.admin.ch/?zoom=13&amp;E=2613961.273&amp;N=1210078.52&amp;layers=ch.kantone.cadastralwebmap-farbe,ch.swisstopo.amtliches-strassenverzeichnis,ch.bfs.gebaeude_wohnungs_register,KML||https://tinyurl.com/yy7ya4g9/BE/0418_bdg_erw.kml" TargetMode="External"/><Relationship Id="rId166" Type="http://schemas.openxmlformats.org/officeDocument/2006/relationships/hyperlink" Target="https://map.geo.admin.ch/?zoom=13&amp;E=2604341.963&amp;N=1215298.07&amp;layers=ch.kantone.cadastralwebmap-farbe,ch.swisstopo.amtliches-strassenverzeichnis,ch.bfs.gebaeude_wohnungs_register,KML||https://tinyurl.com/yy7ya4g9/BE/0538_bdg_erw.kml" TargetMode="External"/><Relationship Id="rId187" Type="http://schemas.openxmlformats.org/officeDocument/2006/relationships/hyperlink" Target="https://map.geo.admin.ch/?zoom=13&amp;E=2608760.743&amp;N=1191061.514&amp;layers=ch.kantone.cadastralwebmap-farbe,ch.swisstopo.amtliches-strassenverzeichnis,ch.bfs.gebaeude_wohnungs_register,KML||https://tinyurl.com/yy7ya4g9/BE/0616_bdg_erw.kml" TargetMode="External"/><Relationship Id="rId331" Type="http://schemas.openxmlformats.org/officeDocument/2006/relationships/hyperlink" Target="https://map.geo.admin.ch/?zoom=13&amp;E=2623372.272&amp;N=1209479.11&amp;layers=ch.kantone.cadastralwebmap-farbe,ch.swisstopo.amtliches-strassenverzeichnis,ch.bfs.gebaeude_wohnungs_register,KML||https://tinyurl.com/yy7ya4g9/BE/0957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12" Type="http://schemas.openxmlformats.org/officeDocument/2006/relationships/hyperlink" Target="https://map.geo.admin.ch/?zoom=13&amp;E=2579407.312&amp;N=1219811.567&amp;layers=ch.kantone.cadastralwebmap-farbe,ch.swisstopo.amtliches-strassenverzeichnis,ch.bfs.gebaeude_wohnungs_register,KML||https://tinyurl.com/yy7ya4g9/BE/0726_bdg_erw.kml" TargetMode="External"/><Relationship Id="rId233" Type="http://schemas.openxmlformats.org/officeDocument/2006/relationships/hyperlink" Target="https://map.geo.admin.ch/?zoom=13&amp;E=2665077.309&amp;N=1167434.03&amp;layers=ch.kantone.cadastralwebmap-farbe,ch.swisstopo.amtliches-strassenverzeichnis,ch.bfs.gebaeude_wohnungs_register,KML||https://tinyurl.com/yy7ya4g9/BE/0782_bdg_erw.kml" TargetMode="External"/><Relationship Id="rId254" Type="http://schemas.openxmlformats.org/officeDocument/2006/relationships/hyperlink" Target="https://map.geo.admin.ch/?zoom=13&amp;E=2608706.327&amp;N=1185875.546&amp;layers=ch.kantone.cadastralwebmap-farbe,ch.swisstopo.amtliches-strassenverzeichnis,ch.bfs.gebaeude_wohnungs_register,KML||https://tinyurl.com/yy7ya4g9/BE/0872_bdg_erw.kml" TargetMode="External"/><Relationship Id="rId28" Type="http://schemas.openxmlformats.org/officeDocument/2006/relationships/hyperlink" Target="https://map.geo.admin.ch/?zoom=13&amp;E=2598778.468&amp;N=1199616.417&amp;layers=ch.kantone.cadastralwebmap-farbe,ch.swisstopo.amtliches-strassenverzeichnis,ch.bfs.gebaeude_wohnungs_register,KML||https://tinyurl.com/yy7ya4g9/BE/0351_bdg_erw.kml" TargetMode="External"/><Relationship Id="rId49" Type="http://schemas.openxmlformats.org/officeDocument/2006/relationships/hyperlink" Target="https://map.geo.admin.ch/?zoom=13&amp;E=2601157.771&amp;N=1199519.558&amp;layers=ch.kantone.cadastralwebmap-farbe,ch.swisstopo.amtliches-strassenverzeichnis,ch.bfs.gebaeude_wohnungs_register,KML||https://tinyurl.com/yy7ya4g9/BE/0351_bdg_erw.kml" TargetMode="External"/><Relationship Id="rId114" Type="http://schemas.openxmlformats.org/officeDocument/2006/relationships/hyperlink" Target="https://map.geo.admin.ch/?zoom=13&amp;E=2594811.693&amp;N=1225176.012&amp;layers=ch.kantone.cadastralwebmap-farbe,ch.swisstopo.amtliches-strassenverzeichnis,ch.bfs.gebaeude_wohnungs_register,KML||https://tinyurl.com/yy7ya4g9/BE/0387_bdg_erw.kml" TargetMode="External"/><Relationship Id="rId275" Type="http://schemas.openxmlformats.org/officeDocument/2006/relationships/hyperlink" Target="https://map.geo.admin.ch/?zoom=13&amp;E=2630794.563&amp;N=1196925.779&amp;layers=ch.kantone.cadastralwebmap-farbe,ch.swisstopo.amtliches-strassenverzeichnis,ch.bfs.gebaeude_wohnungs_register,KML||https://tinyurl.com/yy7ya4g9/BE/0909_bdg_erw.kml" TargetMode="External"/><Relationship Id="rId296" Type="http://schemas.openxmlformats.org/officeDocument/2006/relationships/hyperlink" Target="https://map.geo.admin.ch/?zoom=13&amp;E=2614523.812&amp;N=1175391.731&amp;layers=ch.kantone.cadastralwebmap-farbe,ch.swisstopo.amtliches-strassenverzeichnis,ch.bfs.gebaeude_wohnungs_register,KML||https://tinyurl.com/yy7ya4g9/BE/0942_bdg_erw.kml" TargetMode="External"/><Relationship Id="rId300" Type="http://schemas.openxmlformats.org/officeDocument/2006/relationships/hyperlink" Target="https://map.geo.admin.ch/?zoom=13&amp;E=2607222.806&amp;N=1176472.41&amp;layers=ch.kantone.cadastralwebmap-farbe,ch.swisstopo.amtliches-strassenverzeichnis,ch.bfs.gebaeude_wohnungs_register,KML||https://tinyurl.com/yy7ya4g9/BE/0943_bdg_erw.kml" TargetMode="External"/><Relationship Id="rId60" Type="http://schemas.openxmlformats.org/officeDocument/2006/relationships/hyperlink" Target="https://map.geo.admin.ch/?zoom=13&amp;E=2596589.351&amp;N=1205729.442&amp;layers=ch.kantone.cadastralwebmap-farbe,ch.swisstopo.amtliches-strassenverzeichnis,ch.bfs.gebaeude_wohnungs_register,KML||https://tinyurl.com/yy7ya4g9/BE/0354_bdg_erw.kml" TargetMode="External"/><Relationship Id="rId81" Type="http://schemas.openxmlformats.org/officeDocument/2006/relationships/hyperlink" Target="https://map.geo.admin.ch/?zoom=13&amp;E=2601293.903&amp;N=1204560.495&amp;layers=ch.kantone.cadastralwebmap-farbe,ch.swisstopo.amtliches-strassenverzeichnis,ch.bfs.gebaeude_wohnungs_register,KML||https://tinyurl.com/yy7ya4g9/BE/0361_bdg_erw.kml" TargetMode="External"/><Relationship Id="rId135" Type="http://schemas.openxmlformats.org/officeDocument/2006/relationships/hyperlink" Target="https://map.geo.admin.ch/?zoom=13&amp;E=2614633.424&amp;N=1213805.24&amp;layers=ch.kantone.cadastralwebmap-farbe,ch.swisstopo.amtliches-strassenverzeichnis,ch.bfs.gebaeude_wohnungs_register,KML||https://tinyurl.com/yy7ya4g9/BE/0404_bdg_erw.kml" TargetMode="External"/><Relationship Id="rId156" Type="http://schemas.openxmlformats.org/officeDocument/2006/relationships/hyperlink" Target="https://map.geo.admin.ch/?zoom=13&amp;E=2577506.937&amp;N=1204986.614&amp;layers=ch.kantone.cadastralwebmap-farbe,ch.swisstopo.amtliches-strassenverzeichnis,ch.bfs.gebaeude_wohnungs_register,KML||https://tinyurl.com/yy7ya4g9/BE/0498_bdg_erw.kml" TargetMode="External"/><Relationship Id="rId177" Type="http://schemas.openxmlformats.org/officeDocument/2006/relationships/hyperlink" Target="https://map.geo.admin.ch/?zoom=13&amp;E=2632493.726&amp;N=1170610.118&amp;layers=ch.kantone.cadastralwebmap-farbe,ch.swisstopo.amtliches-strassenverzeichnis,ch.bfs.gebaeude_wohnungs_register,KML||https://tinyurl.com/yy7ya4g9/BE/0581_bdg_erw.kml" TargetMode="External"/><Relationship Id="rId198" Type="http://schemas.openxmlformats.org/officeDocument/2006/relationships/hyperlink" Target="https://map.geo.admin.ch/?zoom=13&amp;E=2594184.88&amp;N=1236493.122&amp;layers=ch.kantone.cadastralwebmap-farbe,ch.swisstopo.amtliches-strassenverzeichnis,ch.bfs.gebaeude_wohnungs_register,KML||https://tinyurl.com/yy7ya4g9/BE/0700_bdg_erw.kml" TargetMode="External"/><Relationship Id="rId321" Type="http://schemas.openxmlformats.org/officeDocument/2006/relationships/hyperlink" Target="https://map.geo.admin.ch/?zoom=13&amp;E=2623013.867&amp;N=1208728.688&amp;layers=ch.kantone.cadastralwebmap-farbe,ch.swisstopo.amtliches-strassenverzeichnis,ch.bfs.gebaeude_wohnungs_register,KML||https://tinyurl.com/yy7ya4g9/BE/0957_bdg_erw.kml" TargetMode="External"/><Relationship Id="rId342" Type="http://schemas.openxmlformats.org/officeDocument/2006/relationships/drawing" Target="../drawings/drawing3.xml"/><Relationship Id="rId202" Type="http://schemas.openxmlformats.org/officeDocument/2006/relationships/hyperlink" Target="https://map.geo.admin.ch/?zoom=13&amp;E=2576642.955&amp;N=1216570.285&amp;layers=ch.kantone.cadastralwebmap-farbe,ch.swisstopo.amtliches-strassenverzeichnis,ch.bfs.gebaeude_wohnungs_register,KML||https://tinyurl.com/yy7ya4g9/BE/0726_bdg_erw.kml" TargetMode="External"/><Relationship Id="rId223" Type="http://schemas.openxmlformats.org/officeDocument/2006/relationships/hyperlink" Target="https://map.geo.admin.ch/?zoom=13&amp;E=2590220.826&amp;N=1221102.918&amp;layers=ch.kantone.cadastralwebmap-farbe,ch.swisstopo.amtliches-strassenverzeichnis,ch.bfs.gebaeude_wohnungs_register,KML||https://tinyurl.com/yy7ya4g9/BE/0744_bdg_erw.kml" TargetMode="External"/><Relationship Id="rId244" Type="http://schemas.openxmlformats.org/officeDocument/2006/relationships/hyperlink" Target="https://map.geo.admin.ch/?zoom=13&amp;E=2595584.378&amp;N=1154454.243&amp;layers=ch.kantone.cadastralwebmap-farbe,ch.swisstopo.amtliches-strassenverzeichnis,ch.bfs.gebaeude_wohnungs_register,KML||https://tinyurl.com/yy7ya4g9/BE/0794_bdg_erw.kml" TargetMode="External"/><Relationship Id="rId18" Type="http://schemas.openxmlformats.org/officeDocument/2006/relationships/hyperlink" Target="https://map.geo.admin.ch/?zoom=13&amp;E=2628148.636&amp;N=1234385.569&amp;layers=ch.kantone.cadastralwebmap-farbe,ch.swisstopo.amtliches-strassenverzeichnis,ch.bfs.gebaeude_wohnungs_register,KML||https://tinyurl.com/yy7ya4g9/BE/0345_bdg_erw.kml" TargetMode="External"/><Relationship Id="rId39" Type="http://schemas.openxmlformats.org/officeDocument/2006/relationships/hyperlink" Target="https://map.geo.admin.ch/?zoom=13&amp;E=2601280.661&amp;N=1199593.653&amp;layers=ch.kantone.cadastralwebmap-farbe,ch.swisstopo.amtliches-strassenverzeichnis,ch.bfs.gebaeude_wohnungs_register,KML||https://tinyurl.com/yy7ya4g9/BE/0351_bdg_erw.kml" TargetMode="External"/><Relationship Id="rId265" Type="http://schemas.openxmlformats.org/officeDocument/2006/relationships/hyperlink" Target="https://map.geo.admin.ch/?zoom=13&amp;E=2605647.106&amp;N=1178300.948&amp;layers=ch.kantone.cadastralwebmap-farbe,ch.swisstopo.amtliches-strassenverzeichnis,ch.bfs.gebaeude_wohnungs_register,KML||https://tinyurl.com/yy7ya4g9/BE/0886_bdg_erw.kml" TargetMode="External"/><Relationship Id="rId286" Type="http://schemas.openxmlformats.org/officeDocument/2006/relationships/hyperlink" Target="https://map.geo.admin.ch/?zoom=13&amp;E=2612631.527&amp;N=1183332.593&amp;layers=ch.kantone.cadastralwebmap-farbe,ch.swisstopo.amtliches-strassenverzeichnis,ch.bfs.gebaeude_wohnungs_register,KML||https://tinyurl.com/yy7ya4g9/BE/0928_bdg_erw.kml" TargetMode="External"/><Relationship Id="rId50" Type="http://schemas.openxmlformats.org/officeDocument/2006/relationships/hyperlink" Target="https://map.geo.admin.ch/?zoom=13&amp;E=2595962.579&amp;N=1200948.974&amp;layers=ch.kantone.cadastralwebmap-farbe,ch.swisstopo.amtliches-strassenverzeichnis,ch.bfs.gebaeude_wohnungs_register,KML||https://tinyurl.com/yy7ya4g9/BE/0351_bdg_erw.kml" TargetMode="External"/><Relationship Id="rId104" Type="http://schemas.openxmlformats.org/officeDocument/2006/relationships/hyperlink" Target="https://map.geo.admin.ch/?zoom=13&amp;E=2587127.952&amp;N=1221243.309&amp;layers=ch.kantone.cadastralwebmap-farbe,ch.swisstopo.amtliches-strassenverzeichnis,ch.bfs.gebaeude_wohnungs_register,KML||https://tinyurl.com/yy7ya4g9/BE/0371_bdg_erw.kml" TargetMode="External"/><Relationship Id="rId125" Type="http://schemas.openxmlformats.org/officeDocument/2006/relationships/hyperlink" Target="https://map.geo.admin.ch/?zoom=13&amp;E=2613780.404&amp;N=1210774.447&amp;layers=ch.kantone.cadastralwebmap-farbe,ch.swisstopo.amtliches-strassenverzeichnis,ch.bfs.gebaeude_wohnungs_register,KML||https://tinyurl.com/yy7ya4g9/BE/0404_bdg_erw.kml" TargetMode="External"/><Relationship Id="rId146" Type="http://schemas.openxmlformats.org/officeDocument/2006/relationships/hyperlink" Target="https://map.geo.admin.ch/?zoom=13&amp;E=2612657.007&amp;N=1209154.743&amp;layers=ch.kantone.cadastralwebmap-farbe,ch.swisstopo.amtliches-strassenverzeichnis,ch.bfs.gebaeude_wohnungs_register,KML||https://tinyurl.com/yy7ya4g9/BE/0418_bdg_erw.kml" TargetMode="External"/><Relationship Id="rId167" Type="http://schemas.openxmlformats.org/officeDocument/2006/relationships/hyperlink" Target="https://map.geo.admin.ch/?zoom=13&amp;E=2605569.18&amp;N=1216162.701&amp;layers=ch.kantone.cadastralwebmap-farbe,ch.swisstopo.amtliches-strassenverzeichnis,ch.bfs.gebaeude_wohnungs_register,KML||https://tinyurl.com/yy7ya4g9/BE/0538_bdg_erw.kml" TargetMode="External"/><Relationship Id="rId188" Type="http://schemas.openxmlformats.org/officeDocument/2006/relationships/hyperlink" Target="https://map.geo.admin.ch/?zoom=13&amp;E=2608735.381&amp;N=1190965.667&amp;layers=ch.kantone.cadastralwebmap-farbe,ch.swisstopo.amtliches-strassenverzeichnis,ch.bfs.gebaeude_wohnungs_register,KML||https://tinyurl.com/yy7ya4g9/BE/0616_bdg_erw.kml" TargetMode="External"/><Relationship Id="rId311" Type="http://schemas.openxmlformats.org/officeDocument/2006/relationships/hyperlink" Target="https://map.geo.admin.ch/?zoom=13&amp;E=2630901.586&amp;N=1206061.446&amp;layers=ch.kantone.cadastralwebmap-farbe,ch.swisstopo.amtliches-strassenverzeichnis,ch.bfs.gebaeude_wohnungs_register,KML||https://tinyurl.com/yy7ya4g9/BE/0957_bdg_erw.kml" TargetMode="External"/><Relationship Id="rId332" Type="http://schemas.openxmlformats.org/officeDocument/2006/relationships/hyperlink" Target="https://map.geo.admin.ch/?zoom=13&amp;E=2629320.036&amp;N=1214781.815&amp;layers=ch.kantone.cadastralwebmap-farbe,ch.swisstopo.amtliches-strassenverzeichnis,ch.bfs.gebaeude_wohnungs_register,KML||https://tinyurl.com/yy7ya4g9/BE/0960_bdg_erw.kml" TargetMode="External"/><Relationship Id="rId71" Type="http://schemas.openxmlformats.org/officeDocument/2006/relationships/hyperlink" Target="https://map.geo.admin.ch/?zoom=13&amp;E=2606424.747&amp;N=1200750.185&amp;layers=ch.kantone.cadastralwebmap-farbe,ch.swisstopo.amtliches-strassenverzeichnis,ch.bfs.gebaeude_wohnungs_register,KML||https://tinyurl.com/yy7ya4g9/BE/0358_bdg_erw.kml" TargetMode="External"/><Relationship Id="rId92" Type="http://schemas.openxmlformats.org/officeDocument/2006/relationships/hyperlink" Target="https://map.geo.admin.ch/?zoom=13&amp;E=2584750.597&amp;N=1220191.619&amp;layers=ch.kantone.cadastralwebmap-farbe,ch.swisstopo.amtliches-strassenverzeichnis,ch.bfs.gebaeude_wohnungs_register,KML||https://tinyurl.com/yy7ya4g9/BE/0371_bdg_erw.kml" TargetMode="External"/><Relationship Id="rId213" Type="http://schemas.openxmlformats.org/officeDocument/2006/relationships/hyperlink" Target="https://map.geo.admin.ch/?zoom=13&amp;E=2580711.256&amp;N=1219559.619&amp;layers=ch.kantone.cadastralwebmap-farbe,ch.swisstopo.amtliches-strassenverzeichnis,ch.bfs.gebaeude_wohnungs_register,KML||https://tinyurl.com/yy7ya4g9/BE/0726_bdg_erw.kml" TargetMode="External"/><Relationship Id="rId234" Type="http://schemas.openxmlformats.org/officeDocument/2006/relationships/hyperlink" Target="https://map.geo.admin.ch/?zoom=13&amp;E=2657821.503&amp;N=1178050.704&amp;layers=ch.kantone.cadastralwebmap-farbe,ch.swisstopo.amtliches-strassenverzeichnis,ch.bfs.gebaeude_wohnungs_register,KML||https://tinyurl.com/yy7ya4g9/BE/0783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598967.158&amp;N=1199790.524&amp;layers=ch.kantone.cadastralwebmap-farbe,ch.swisstopo.amtliches-strassenverzeichnis,ch.bfs.gebaeude_wohnungs_register,KML||https://tinyurl.com/yy7ya4g9/BE/0351_bdg_erw.kml" TargetMode="External"/><Relationship Id="rId255" Type="http://schemas.openxmlformats.org/officeDocument/2006/relationships/hyperlink" Target="https://map.geo.admin.ch/?zoom=13&amp;E=2600995.811&amp;N=1189007.958&amp;layers=ch.kantone.cadastralwebmap-farbe,ch.swisstopo.amtliches-strassenverzeichnis,ch.bfs.gebaeude_wohnungs_register,KML||https://tinyurl.com/yy7ya4g9/BE/0877_bdg_erw.kml" TargetMode="External"/><Relationship Id="rId276" Type="http://schemas.openxmlformats.org/officeDocument/2006/relationships/hyperlink" Target="https://map.geo.admin.ch/?zoom=13&amp;E=2630855.818&amp;N=1197164.385&amp;layers=ch.kantone.cadastralwebmap-farbe,ch.swisstopo.amtliches-strassenverzeichnis,ch.bfs.gebaeude_wohnungs_register,KML||https://tinyurl.com/yy7ya4g9/BE/0909_bdg_erw.kml" TargetMode="External"/><Relationship Id="rId297" Type="http://schemas.openxmlformats.org/officeDocument/2006/relationships/hyperlink" Target="https://map.geo.admin.ch/?zoom=13&amp;E=2613488.169&amp;N=1176507.085&amp;layers=ch.kantone.cadastralwebmap-farbe,ch.swisstopo.amtliches-strassenverzeichnis,ch.bfs.gebaeude_wohnungs_register,KML||https://tinyurl.com/yy7ya4g9/BE/0942_bdg_erw.kml" TargetMode="External"/><Relationship Id="rId40" Type="http://schemas.openxmlformats.org/officeDocument/2006/relationships/hyperlink" Target="https://map.geo.admin.ch/?zoom=13&amp;E=2601356.908&amp;N=1199649.423&amp;layers=ch.kantone.cadastralwebmap-farbe,ch.swisstopo.amtliches-strassenverzeichnis,ch.bfs.gebaeude_wohnungs_register,KML||https://tinyurl.com/yy7ya4g9/BE/0351_bdg_erw.kml" TargetMode="External"/><Relationship Id="rId115" Type="http://schemas.openxmlformats.org/officeDocument/2006/relationships/hyperlink" Target="https://map.geo.admin.ch/?zoom=13&amp;E=2594843.719&amp;N=1225144.446&amp;layers=ch.kantone.cadastralwebmap-farbe,ch.swisstopo.amtliches-strassenverzeichnis,ch.bfs.gebaeude_wohnungs_register,KML||https://tinyurl.com/yy7ya4g9/BE/0387_bdg_erw.kml" TargetMode="External"/><Relationship Id="rId136" Type="http://schemas.openxmlformats.org/officeDocument/2006/relationships/hyperlink" Target="https://map.geo.admin.ch/?zoom=13&amp;E=2614296.446&amp;N=1211224.424&amp;layers=ch.kantone.cadastralwebmap-farbe,ch.swisstopo.amtliches-strassenverzeichnis,ch.bfs.gebaeude_wohnungs_register,KML||https://tinyurl.com/yy7ya4g9/BE/0404_bdg_erw.kml" TargetMode="External"/><Relationship Id="rId157" Type="http://schemas.openxmlformats.org/officeDocument/2006/relationships/hyperlink" Target="https://map.geo.admin.ch/?zoom=13&amp;E=2580891.492&amp;N=1208736.968&amp;layers=ch.kantone.cadastralwebmap-farbe,ch.swisstopo.amtliches-strassenverzeichnis,ch.bfs.gebaeude_wohnungs_register,KML||https://tinyurl.com/yy7ya4g9/BE/0499_bdg_erw.kml" TargetMode="External"/><Relationship Id="rId178" Type="http://schemas.openxmlformats.org/officeDocument/2006/relationships/hyperlink" Target="https://map.geo.admin.ch/?zoom=13&amp;E=2632818.57&amp;N=1170066.428&amp;layers=ch.kantone.cadastralwebmap-farbe,ch.swisstopo.amtliches-strassenverzeichnis,ch.bfs.gebaeude_wohnungs_register,KML||https://tinyurl.com/yy7ya4g9/BE/0587_bdg_erw.kml" TargetMode="External"/><Relationship Id="rId301" Type="http://schemas.openxmlformats.org/officeDocument/2006/relationships/hyperlink" Target="https://map.geo.admin.ch/?zoom=13&amp;E=2608773.018&amp;N=1176197.241&amp;layers=ch.kantone.cadastralwebmap-farbe,ch.swisstopo.amtliches-strassenverzeichnis,ch.bfs.gebaeude_wohnungs_register,KML||https://tinyurl.com/yy7ya4g9/BE/0943_bdg_erw.kml" TargetMode="External"/><Relationship Id="rId322" Type="http://schemas.openxmlformats.org/officeDocument/2006/relationships/hyperlink" Target="https://map.geo.admin.ch/?zoom=13&amp;E=2623153.616&amp;N=1208214.326&amp;layers=ch.kantone.cadastralwebmap-farbe,ch.swisstopo.amtliches-strassenverzeichnis,ch.bfs.gebaeude_wohnungs_register,KML||https://tinyurl.com/yy7ya4g9/BE/0957_bdg_erw.kml" TargetMode="External"/><Relationship Id="rId61" Type="http://schemas.openxmlformats.org/officeDocument/2006/relationships/hyperlink" Target="https://map.geo.admin.ch/?zoom=13&amp;E=2596586.395&amp;N=1205729.741&amp;layers=ch.kantone.cadastralwebmap-farbe,ch.swisstopo.amtliches-strassenverzeichnis,ch.bfs.gebaeude_wohnungs_register,KML||https://tinyurl.com/yy7ya4g9/BE/0354_bdg_erw.kml" TargetMode="External"/><Relationship Id="rId82" Type="http://schemas.openxmlformats.org/officeDocument/2006/relationships/hyperlink" Target="https://map.geo.admin.ch/?zoom=13&amp;E=2602941.319&amp;N=1204373.447&amp;layers=ch.kantone.cadastralwebmap-farbe,ch.swisstopo.amtliches-strassenverzeichnis,ch.bfs.gebaeude_wohnungs_register,KML||https://tinyurl.com/yy7ya4g9/BE/0362_bdg_erw.kml" TargetMode="External"/><Relationship Id="rId199" Type="http://schemas.openxmlformats.org/officeDocument/2006/relationships/hyperlink" Target="https://map.geo.admin.ch/?zoom=13&amp;E=2581719.183&amp;N=1232554.747&amp;layers=ch.kantone.cadastralwebmap-farbe,ch.swisstopo.amtliches-strassenverzeichnis,ch.bfs.gebaeude_wohnungs_register,KML||https://tinyurl.com/yy7ya4g9/BE/0706_bdg_erw.kml" TargetMode="External"/><Relationship Id="rId203" Type="http://schemas.openxmlformats.org/officeDocument/2006/relationships/hyperlink" Target="https://map.geo.admin.ch/?zoom=13&amp;E=2578589.92&amp;N=1220688.385&amp;layers=ch.kantone.cadastralwebmap-farbe,ch.swisstopo.amtliches-strassenverzeichnis,ch.bfs.gebaeude_wohnungs_register,KML||https://tinyurl.com/yy7ya4g9/BE/0726_bdg_erw.kml" TargetMode="External"/><Relationship Id="rId19" Type="http://schemas.openxmlformats.org/officeDocument/2006/relationships/hyperlink" Target="https://map.geo.admin.ch/?zoom=13&amp;E=2629191.733&amp;N=1234537.915&amp;layers=ch.kantone.cadastralwebmap-farbe,ch.swisstopo.amtliches-strassenverzeichnis,ch.bfs.gebaeude_wohnungs_register,KML||https://tinyurl.com/yy7ya4g9/BE/0345_bdg_erw.kml" TargetMode="External"/><Relationship Id="rId224" Type="http://schemas.openxmlformats.org/officeDocument/2006/relationships/hyperlink" Target="https://map.geo.admin.ch/?zoom=13&amp;E=2591685.492&amp;N=1222640.905&amp;layers=ch.kantone.cadastralwebmap-farbe,ch.swisstopo.amtliches-strassenverzeichnis,ch.bfs.gebaeude_wohnungs_register,KML||https://tinyurl.com/yy7ya4g9/BE/0746_bdg_erw.kml" TargetMode="External"/><Relationship Id="rId245" Type="http://schemas.openxmlformats.org/officeDocument/2006/relationships/hyperlink" Target="https://map.geo.admin.ch/?zoom=13&amp;E=2586873.852&amp;N=1138941.264&amp;layers=ch.kantone.cadastralwebmap-farbe,ch.swisstopo.amtliches-strassenverzeichnis,ch.bfs.gebaeude_wohnungs_register,KML||https://tinyurl.com/yy7ya4g9/BE/0841_bdg_erw.kml" TargetMode="External"/><Relationship Id="rId266" Type="http://schemas.openxmlformats.org/officeDocument/2006/relationships/hyperlink" Target="https://map.geo.admin.ch/?zoom=13&amp;E=2605381.395&amp;N=1185703.84&amp;layers=ch.kantone.cadastralwebmap-farbe,ch.swisstopo.amtliches-strassenverzeichnis,ch.bfs.gebaeude_wohnungs_register,KML||https://tinyurl.com/yy7ya4g9/BE/0889_bdg_erw.kml" TargetMode="External"/><Relationship Id="rId287" Type="http://schemas.openxmlformats.org/officeDocument/2006/relationships/hyperlink" Target="https://map.geo.admin.ch/?zoom=13&amp;E=2612046.369&amp;N=1182417.742&amp;layers=ch.kantone.cadastralwebmap-farbe,ch.swisstopo.amtliches-strassenverzeichnis,ch.bfs.gebaeude_wohnungs_register,KML||https://tinyurl.com/yy7ya4g9/BE/0928_bdg_erw.kml" TargetMode="External"/><Relationship Id="rId30" Type="http://schemas.openxmlformats.org/officeDocument/2006/relationships/hyperlink" Target="https://map.geo.admin.ch/?zoom=13&amp;E=2599128.856&amp;N=1200901.74&amp;layers=ch.kantone.cadastralwebmap-farbe,ch.swisstopo.amtliches-strassenverzeichnis,ch.bfs.gebaeude_wohnungs_register,KML||https://tinyurl.com/yy7ya4g9/BE/0351_bdg_erw.kml" TargetMode="External"/><Relationship Id="rId105" Type="http://schemas.openxmlformats.org/officeDocument/2006/relationships/hyperlink" Target="https://map.geo.admin.ch/?zoom=13&amp;E=2587176.206&amp;N=1221357.63&amp;layers=ch.kantone.cadastralwebmap-farbe,ch.swisstopo.amtliches-strassenverzeichnis,ch.bfs.gebaeude_wohnungs_register,KML||https://tinyurl.com/yy7ya4g9/BE/0371_bdg_erw.kml" TargetMode="External"/><Relationship Id="rId126" Type="http://schemas.openxmlformats.org/officeDocument/2006/relationships/hyperlink" Target="https://map.geo.admin.ch/?zoom=13&amp;E=2613734.863&amp;N=1210962.23&amp;layers=ch.kantone.cadastralwebmap-farbe,ch.swisstopo.amtliches-strassenverzeichnis,ch.bfs.gebaeude_wohnungs_register,KML||https://tinyurl.com/yy7ya4g9/BE/0404_bdg_erw.kml" TargetMode="External"/><Relationship Id="rId147" Type="http://schemas.openxmlformats.org/officeDocument/2006/relationships/hyperlink" Target="https://map.geo.admin.ch/?zoom=13&amp;E=2612684.887&amp;N=1208601.497&amp;layers=ch.kantone.cadastralwebmap-farbe,ch.swisstopo.amtliches-strassenverzeichnis,ch.bfs.gebaeude_wohnungs_register,KML||https://tinyurl.com/yy7ya4g9/BE/0418_bdg_erw.kml" TargetMode="External"/><Relationship Id="rId168" Type="http://schemas.openxmlformats.org/officeDocument/2006/relationships/hyperlink" Target="https://map.geo.admin.ch/?zoom=13&amp;E=2606208.311&amp;N=1210281.497&amp;layers=ch.kantone.cadastralwebmap-farbe,ch.swisstopo.amtliches-strassenverzeichnis,ch.bfs.gebaeude_wohnungs_register,KML||https://tinyurl.com/yy7ya4g9/BE/0540_bdg_erw.kml" TargetMode="External"/><Relationship Id="rId312" Type="http://schemas.openxmlformats.org/officeDocument/2006/relationships/hyperlink" Target="https://map.geo.admin.ch/?zoom=13&amp;E=2630902.241&amp;N=1206115.632&amp;layers=ch.kantone.cadastralwebmap-farbe,ch.swisstopo.amtliches-strassenverzeichnis,ch.bfs.gebaeude_wohnungs_register,KML||https://tinyurl.com/yy7ya4g9/BE/0957_bdg_erw.kml" TargetMode="External"/><Relationship Id="rId333" Type="http://schemas.openxmlformats.org/officeDocument/2006/relationships/hyperlink" Target="https://map.geo.admin.ch/?zoom=13&amp;E=2612347.77&amp;N=1232487.943&amp;layers=ch.kantone.cadastralwebmap-farbe,ch.swisstopo.amtliches-strassenverzeichnis,ch.bfs.gebaeude_wohnungs_register,KML||https://tinyurl.com/yy7ya4g9/BE/0971_bdg_erw.kml" TargetMode="External"/><Relationship Id="rId51" Type="http://schemas.openxmlformats.org/officeDocument/2006/relationships/hyperlink" Target="https://map.geo.admin.ch/?zoom=13&amp;E=2600994.222&amp;N=1201448.997&amp;layers=ch.kantone.cadastralwebmap-farbe,ch.swisstopo.amtliches-strassenverzeichnis,ch.bfs.gebaeude_wohnungs_register,KML||https://tinyurl.com/yy7ya4g9/BE/0351_bdg_erw.kml" TargetMode="External"/><Relationship Id="rId72" Type="http://schemas.openxmlformats.org/officeDocument/2006/relationships/hyperlink" Target="https://map.geo.admin.ch/?zoom=13&amp;E=2609148.667&amp;N=1200442.886&amp;layers=ch.kantone.cadastralwebmap-farbe,ch.swisstopo.amtliches-strassenverzeichnis,ch.bfs.gebaeude_wohnungs_register,KML||https://tinyurl.com/yy7ya4g9/BE/0359_bdg_erw.kml" TargetMode="External"/><Relationship Id="rId93" Type="http://schemas.openxmlformats.org/officeDocument/2006/relationships/hyperlink" Target="https://map.geo.admin.ch/?zoom=13&amp;E=2587639.759&amp;N=1221234.968&amp;layers=ch.kantone.cadastralwebmap-farbe,ch.swisstopo.amtliches-strassenverzeichnis,ch.bfs.gebaeude_wohnungs_register,KML||https://tinyurl.com/yy7ya4g9/BE/0371_bdg_erw.kml" TargetMode="External"/><Relationship Id="rId189" Type="http://schemas.openxmlformats.org/officeDocument/2006/relationships/hyperlink" Target="https://map.geo.admin.ch/?zoom=13&amp;E=2615316.513&amp;N=1187728.329&amp;layers=ch.kantone.cadastralwebmap-farbe,ch.swisstopo.amtliches-strassenverzeichnis,ch.bfs.gebaeude_wohnungs_register,KML||https://tinyurl.com/yy7ya4g9/BE/0619_bdg_erw.kml" TargetMode="External"/><Relationship Id="rId3" Type="http://schemas.openxmlformats.org/officeDocument/2006/relationships/hyperlink" Target="https://www.housing-stat.ch/de/benutzerhilfen/41.html" TargetMode="External"/><Relationship Id="rId214" Type="http://schemas.openxmlformats.org/officeDocument/2006/relationships/hyperlink" Target="https://map.geo.admin.ch/?zoom=13&amp;E=2580611.284&amp;N=1219422.997&amp;layers=ch.kantone.cadastralwebmap-farbe,ch.swisstopo.amtliches-strassenverzeichnis,ch.bfs.gebaeude_wohnungs_register,KML||https://tinyurl.com/yy7ya4g9/BE/0726_bdg_erw.kml" TargetMode="External"/><Relationship Id="rId235" Type="http://schemas.openxmlformats.org/officeDocument/2006/relationships/hyperlink" Target="https://map.geo.admin.ch/?zoom=13&amp;E=2652797.404&amp;N=1176537.944&amp;layers=ch.kantone.cadastralwebmap-farbe,ch.swisstopo.amtliches-strassenverzeichnis,ch.bfs.gebaeude_wohnungs_register,KML||https://tinyurl.com/yy7ya4g9/BE/0785_bdg_erw.kml" TargetMode="External"/><Relationship Id="rId256" Type="http://schemas.openxmlformats.org/officeDocument/2006/relationships/hyperlink" Target="https://map.geo.admin.ch/?zoom=13&amp;E=2601395.353&amp;N=1188687.7&amp;layers=ch.kantone.cadastralwebmap-farbe,ch.swisstopo.amtliches-strassenverzeichnis,ch.bfs.gebaeude_wohnungs_register,KML||https://tinyurl.com/yy7ya4g9/BE/0877_bdg_erw.kml" TargetMode="External"/><Relationship Id="rId277" Type="http://schemas.openxmlformats.org/officeDocument/2006/relationships/hyperlink" Target="https://map.geo.admin.ch/?zoom=13&amp;E=2630237.908&amp;N=1197083.117&amp;layers=ch.kantone.cadastralwebmap-farbe,ch.swisstopo.amtliches-strassenverzeichnis,ch.bfs.gebaeude_wohnungs_register,KML||https://tinyurl.com/yy7ya4g9/BE/0909_bdg_erw.kml" TargetMode="External"/><Relationship Id="rId298" Type="http://schemas.openxmlformats.org/officeDocument/2006/relationships/hyperlink" Target="https://map.geo.admin.ch/?zoom=13&amp;E=2614479.12&amp;N=1176006.621&amp;layers=ch.kantone.cadastralwebmap-farbe,ch.swisstopo.amtliches-strassenverzeichnis,ch.bfs.gebaeude_wohnungs_register,KML||https://tinyurl.com/yy7ya4g9/BE/0942_bdg_erw.kml" TargetMode="External"/><Relationship Id="rId116" Type="http://schemas.openxmlformats.org/officeDocument/2006/relationships/hyperlink" Target="https://map.geo.admin.ch/?zoom=13&amp;E=2594839.392&amp;N=1226108.14&amp;layers=ch.kantone.cadastralwebmap-farbe,ch.swisstopo.amtliches-strassenverzeichnis,ch.bfs.gebaeude_wohnungs_register,KML||https://tinyurl.com/yy7ya4g9/BE/0387_bdg_erw.kml" TargetMode="External"/><Relationship Id="rId137" Type="http://schemas.openxmlformats.org/officeDocument/2006/relationships/hyperlink" Target="https://map.geo.admin.ch/?zoom=13&amp;E=2614273.391&amp;N=1210786.835&amp;layers=ch.kantone.cadastralwebmap-farbe,ch.swisstopo.amtliches-strassenverzeichnis,ch.bfs.gebaeude_wohnungs_register,KML||https://tinyurl.com/yy7ya4g9/BE/0404_bdg_erw.kml" TargetMode="External"/><Relationship Id="rId158" Type="http://schemas.openxmlformats.org/officeDocument/2006/relationships/hyperlink" Target="https://map.geo.admin.ch/?zoom=13&amp;E=2578976.111&amp;N=1206273.471&amp;layers=ch.kantone.cadastralwebmap-farbe,ch.swisstopo.amtliches-strassenverzeichnis,ch.bfs.gebaeude_wohnungs_register,KML||https://tinyurl.com/yy7ya4g9/BE/0500_bdg_erw.kml" TargetMode="External"/><Relationship Id="rId302" Type="http://schemas.openxmlformats.org/officeDocument/2006/relationships/hyperlink" Target="https://map.geo.admin.ch/?zoom=13&amp;E=2622530.181&amp;N=1212162.713&amp;layers=ch.kantone.cadastralwebmap-farbe,ch.swisstopo.amtliches-strassenverzeichnis,ch.bfs.gebaeude_wohnungs_register,KML||https://tinyurl.com/yy7ya4g9/BE/0951_bdg_erw.kml" TargetMode="External"/><Relationship Id="rId323" Type="http://schemas.openxmlformats.org/officeDocument/2006/relationships/hyperlink" Target="https://map.geo.admin.ch/?zoom=13&amp;E=2624965.585&amp;N=1208116.925&amp;layers=ch.kantone.cadastralwebmap-farbe,ch.swisstopo.amtliches-strassenverzeichnis,ch.bfs.gebaeude_wohnungs_register,KML||https://tinyurl.com/yy7ya4g9/BE/0957_bdg_erw.kml" TargetMode="External"/><Relationship Id="rId20" Type="http://schemas.openxmlformats.org/officeDocument/2006/relationships/hyperlink" Target="https://map.geo.admin.ch/?zoom=13&amp;E=2628174.722&amp;N=1234401.615&amp;layers=ch.kantone.cadastralwebmap-farbe,ch.swisstopo.amtliches-strassenverzeichnis,ch.bfs.gebaeude_wohnungs_register,KML||https://tinyurl.com/yy7ya4g9/BE/0345_bdg_erw.kml" TargetMode="External"/><Relationship Id="rId41" Type="http://schemas.openxmlformats.org/officeDocument/2006/relationships/hyperlink" Target="https://map.geo.admin.ch/?zoom=13&amp;E=2598760.198&amp;N=1199639.17&amp;layers=ch.kantone.cadastralwebmap-farbe,ch.swisstopo.amtliches-strassenverzeichnis,ch.bfs.gebaeude_wohnungs_register,KML||https://tinyurl.com/yy7ya4g9/BE/0351_bdg_erw.kml" TargetMode="External"/><Relationship Id="rId62" Type="http://schemas.openxmlformats.org/officeDocument/2006/relationships/hyperlink" Target="https://map.geo.admin.ch/?zoom=13&amp;E=2597704.915&amp;N=1197091.24&amp;layers=ch.kantone.cadastralwebmap-farbe,ch.swisstopo.amtliches-strassenverzeichnis,ch.bfs.gebaeude_wohnungs_register,KML||https://tinyurl.com/yy7ya4g9/BE/0355_bdg_erw.kml" TargetMode="External"/><Relationship Id="rId83" Type="http://schemas.openxmlformats.org/officeDocument/2006/relationships/hyperlink" Target="https://map.geo.admin.ch/?zoom=13&amp;E=2602923.861&amp;N=1204252.538&amp;layers=ch.kantone.cadastralwebmap-farbe,ch.swisstopo.amtliches-strassenverzeichnis,ch.bfs.gebaeude_wohnungs_register,KML||https://tinyurl.com/yy7ya4g9/BE/0362_bdg_erw.kml" TargetMode="External"/><Relationship Id="rId179" Type="http://schemas.openxmlformats.org/officeDocument/2006/relationships/hyperlink" Target="https://map.geo.admin.ch/?zoom=13&amp;E=2632597.354&amp;N=1170134.6&amp;layers=ch.kantone.cadastralwebmap-farbe,ch.swisstopo.amtliches-strassenverzeichnis,ch.bfs.gebaeude_wohnungs_register,KML||https://tinyurl.com/yy7ya4g9/BE/0587_bdg_erw.kml" TargetMode="External"/><Relationship Id="rId190" Type="http://schemas.openxmlformats.org/officeDocument/2006/relationships/hyperlink" Target="https://map.geo.admin.ch/?zoom=13&amp;E=2619945.465&amp;N=1197287.099&amp;layers=ch.kantone.cadastralwebmap-farbe,ch.swisstopo.amtliches-strassenverzeichnis,ch.bfs.gebaeude_wohnungs_register,KML||https://tinyurl.com/yy7ya4g9/BE/0620_bdg_erw.kml" TargetMode="External"/><Relationship Id="rId204" Type="http://schemas.openxmlformats.org/officeDocument/2006/relationships/hyperlink" Target="https://map.geo.admin.ch/?zoom=13&amp;E=2580700.31&amp;N=1219613.54&amp;layers=ch.kantone.cadastralwebmap-farbe,ch.swisstopo.amtliches-strassenverzeichnis,ch.bfs.gebaeude_wohnungs_register,KML||https://tinyurl.com/yy7ya4g9/BE/0726_bdg_erw.kml" TargetMode="External"/><Relationship Id="rId225" Type="http://schemas.openxmlformats.org/officeDocument/2006/relationships/hyperlink" Target="https://map.geo.admin.ch/?zoom=13&amp;E=2590775.676&amp;N=1221688.592&amp;layers=ch.kantone.cadastralwebmap-farbe,ch.swisstopo.amtliches-strassenverzeichnis,ch.bfs.gebaeude_wohnungs_register,KML||https://tinyurl.com/yy7ya4g9/BE/0746_bdg_erw.kml" TargetMode="External"/><Relationship Id="rId246" Type="http://schemas.openxmlformats.org/officeDocument/2006/relationships/hyperlink" Target="https://map.geo.admin.ch/?zoom=13&amp;E=2589107.564&amp;N=1146282.82&amp;layers=ch.kantone.cadastralwebmap-farbe,ch.swisstopo.amtliches-strassenverzeichnis,ch.bfs.gebaeude_wohnungs_register,KML||https://tinyurl.com/yy7ya4g9/BE/0843_bdg_erw.kml" TargetMode="External"/><Relationship Id="rId267" Type="http://schemas.openxmlformats.org/officeDocument/2006/relationships/hyperlink" Target="https://map.geo.admin.ch/?zoom=13&amp;E=2630517.882&amp;N=1189699.593&amp;layers=ch.kantone.cadastralwebmap-farbe,ch.swisstopo.amtliches-strassenverzeichnis,ch.bfs.gebaeude_wohnungs_register,KML||https://tinyurl.com/yy7ya4g9/BE/0901_bdg_erw.kml" TargetMode="External"/><Relationship Id="rId288" Type="http://schemas.openxmlformats.org/officeDocument/2006/relationships/hyperlink" Target="https://map.geo.admin.ch/?zoom=13&amp;E=2618413.205&amp;N=1180322.924&amp;layers=ch.kantone.cadastralwebmap-farbe,ch.swisstopo.amtliches-strassenverzeichnis,ch.bfs.gebaeude_wohnungs_register,KML||https://tinyurl.com/yy7ya4g9/BE/0931_bdg_erw.kml" TargetMode="External"/><Relationship Id="rId106" Type="http://schemas.openxmlformats.org/officeDocument/2006/relationships/hyperlink" Target="https://map.geo.admin.ch/?zoom=13&amp;E=2586743.275&amp;N=1221835.018&amp;layers=ch.kantone.cadastralwebmap-farbe,ch.swisstopo.amtliches-strassenverzeichnis,ch.bfs.gebaeude_wohnungs_register,KML||https://tinyurl.com/yy7ya4g9/BE/0371_bdg_erw.kml" TargetMode="External"/><Relationship Id="rId127" Type="http://schemas.openxmlformats.org/officeDocument/2006/relationships/hyperlink" Target="https://map.geo.admin.ch/?zoom=13&amp;E=2612585.46&amp;N=1213024.061&amp;layers=ch.kantone.cadastralwebmap-farbe,ch.swisstopo.amtliches-strassenverzeichnis,ch.bfs.gebaeude_wohnungs_register,KML||https://tinyurl.com/yy7ya4g9/BE/0404_bdg_erw.kml" TargetMode="External"/><Relationship Id="rId313" Type="http://schemas.openxmlformats.org/officeDocument/2006/relationships/hyperlink" Target="https://map.geo.admin.ch/?zoom=13&amp;E=2622846.492&amp;N=1208662.318&amp;layers=ch.kantone.cadastralwebmap-farbe,ch.swisstopo.amtliches-strassenverzeichnis,ch.bfs.gebaeude_wohnungs_register,KML||https://tinyurl.com/yy7ya4g9/BE/0957_bdg_erw.kml" TargetMode="External"/><Relationship Id="rId10" Type="http://schemas.openxmlformats.org/officeDocument/2006/relationships/hyperlink" Target="https://map.geo.admin.ch/?zoom=13&amp;E=2593300.671&amp;N=1209719.951&amp;layers=ch.kantone.cadastralwebmap-farbe,ch.swisstopo.amtliches-strassenverzeichnis,ch.bfs.gebaeude_wohnungs_register,KML||https://tinyurl.com/yy7ya4g9/BE/0311_bdg_erw.kml" TargetMode="External"/><Relationship Id="rId31" Type="http://schemas.openxmlformats.org/officeDocument/2006/relationships/hyperlink" Target="https://map.geo.admin.ch/?zoom=13&amp;E=2599137.259&amp;N=1200894.107&amp;layers=ch.kantone.cadastralwebmap-farbe,ch.swisstopo.amtliches-strassenverzeichnis,ch.bfs.gebaeude_wohnungs_register,KML||https://tinyurl.com/yy7ya4g9/BE/0351_bdg_erw.kml" TargetMode="External"/><Relationship Id="rId52" Type="http://schemas.openxmlformats.org/officeDocument/2006/relationships/hyperlink" Target="https://map.geo.admin.ch/?zoom=13&amp;E=2602695.83&amp;N=1201421.468&amp;layers=ch.kantone.cadastralwebmap-farbe,ch.swisstopo.amtliches-strassenverzeichnis,ch.bfs.gebaeude_wohnungs_register,KML||https://tinyurl.com/yy7ya4g9/BE/0351_bdg_erw.kml" TargetMode="External"/><Relationship Id="rId73" Type="http://schemas.openxmlformats.org/officeDocument/2006/relationships/hyperlink" Target="https://map.geo.admin.ch/?zoom=13&amp;E=2609138.398&amp;N=1200497.403&amp;layers=ch.kantone.cadastralwebmap-farbe,ch.swisstopo.amtliches-strassenverzeichnis,ch.bfs.gebaeude_wohnungs_register,KML||https://tinyurl.com/yy7ya4g9/BE/0359_bdg_erw.kml" TargetMode="External"/><Relationship Id="rId94" Type="http://schemas.openxmlformats.org/officeDocument/2006/relationships/hyperlink" Target="https://map.geo.admin.ch/?zoom=13&amp;E=2587527.264&amp;N=1221502.6&amp;layers=ch.kantone.cadastralwebmap-farbe,ch.swisstopo.amtliches-strassenverzeichnis,ch.bfs.gebaeude_wohnungs_register,KML||https://tinyurl.com/yy7ya4g9/BE/0371_bdg_erw.kml" TargetMode="External"/><Relationship Id="rId148" Type="http://schemas.openxmlformats.org/officeDocument/2006/relationships/hyperlink" Target="https://map.geo.admin.ch/?zoom=13&amp;E=2619649.448&amp;N=1219643.572&amp;layers=ch.kantone.cadastralwebmap-farbe,ch.swisstopo.amtliches-strassenverzeichnis,ch.bfs.gebaeude_wohnungs_register,KML||https://tinyurl.com/yy7ya4g9/BE/0424_bdg_erw.kml" TargetMode="External"/><Relationship Id="rId169" Type="http://schemas.openxmlformats.org/officeDocument/2006/relationships/hyperlink" Target="https://map.geo.admin.ch/?zoom=13&amp;E=2608986.074&amp;N=1220037.572&amp;layers=ch.kantone.cadastralwebmap-farbe,ch.swisstopo.amtliches-strassenverzeichnis,ch.bfs.gebaeude_wohnungs_register,KML||https://tinyurl.com/yy7ya4g9/BE/0552_bdg_erw.kml" TargetMode="External"/><Relationship Id="rId334" Type="http://schemas.openxmlformats.org/officeDocument/2006/relationships/hyperlink" Target="https://map.geo.admin.ch/?zoom=13&amp;E=2620143.378&amp;N=1226432.945&amp;layers=ch.kantone.cadastralwebmap-farbe,ch.swisstopo.amtliches-strassenverzeichnis,ch.bfs.gebaeude_wohnungs_register,KML||https://tinyurl.com/yy7ya4g9/BE/0979_bdg_erw.kml" TargetMode="External"/><Relationship Id="rId4" Type="http://schemas.openxmlformats.org/officeDocument/2006/relationships/hyperlink" Target="https://map.geo.admin.ch/?zoom=13&amp;E=2589031.013&amp;N=1214425.386&amp;layers=ch.kantone.cadastralwebmap-farbe,ch.swisstopo.amtliches-strassenverzeichnis,ch.bfs.gebaeude_wohnungs_register,KML||https://tinyurl.com/yy7ya4g9/BE/0306_bdg_erw.kml" TargetMode="External"/><Relationship Id="rId180" Type="http://schemas.openxmlformats.org/officeDocument/2006/relationships/hyperlink" Target="https://map.geo.admin.ch/?zoom=13&amp;E=2632205.349&amp;N=1168608.079&amp;layers=ch.kantone.cadastralwebmap-farbe,ch.swisstopo.amtliches-strassenverzeichnis,ch.bfs.gebaeude_wohnungs_register,KML||https://tinyurl.com/yy7ya4g9/BE/0594_bdg_erw.kml" TargetMode="External"/><Relationship Id="rId215" Type="http://schemas.openxmlformats.org/officeDocument/2006/relationships/hyperlink" Target="https://map.geo.admin.ch/?zoom=13&amp;E=2585578.257&amp;N=1217505.254&amp;layers=ch.kantone.cadastralwebmap-farbe,ch.swisstopo.amtliches-strassenverzeichnis,ch.bfs.gebaeude_wohnungs_register,KML||https://tinyurl.com/yy7ya4g9/BE/0732_bdg_erw.kml" TargetMode="External"/><Relationship Id="rId236" Type="http://schemas.openxmlformats.org/officeDocument/2006/relationships/hyperlink" Target="https://map.geo.admin.ch/?zoom=13&amp;E=2597636.871&amp;N=1164946.749&amp;layers=ch.kantone.cadastralwebmap-farbe,ch.swisstopo.amtliches-strassenverzeichnis,ch.bfs.gebaeude_wohnungs_register,KML||https://tinyurl.com/yy7ya4g9/BE/0791_bdg_erw.kml" TargetMode="External"/><Relationship Id="rId257" Type="http://schemas.openxmlformats.org/officeDocument/2006/relationships/hyperlink" Target="https://map.geo.admin.ch/?zoom=13&amp;E=2602180.193&amp;N=1189658.794&amp;layers=ch.kantone.cadastralwebmap-farbe,ch.swisstopo.amtliches-strassenverzeichnis,ch.bfs.gebaeude_wohnungs_register,KML||https://tinyurl.com/yy7ya4g9/BE/0877_bdg_erw.kml" TargetMode="External"/><Relationship Id="rId278" Type="http://schemas.openxmlformats.org/officeDocument/2006/relationships/hyperlink" Target="https://map.geo.admin.ch/?zoom=13&amp;E=2630036.756&amp;N=1197060.165&amp;layers=ch.kantone.cadastralwebmap-farbe,ch.swisstopo.amtliches-strassenverzeichnis,ch.bfs.gebaeude_wohnungs_register,KML||https://tinyurl.com/yy7ya4g9/BE/0909_bdg_erw.kml" TargetMode="External"/><Relationship Id="rId303" Type="http://schemas.openxmlformats.org/officeDocument/2006/relationships/hyperlink" Target="https://map.geo.admin.ch/?zoom=13&amp;E=2631167.631&amp;N=1214574.558&amp;layers=ch.kantone.cadastralwebmap-farbe,ch.swisstopo.amtliches-strassenverzeichnis,ch.bfs.gebaeude_wohnungs_register,KML||https://tinyurl.com/yy7ya4g9/BE/0953_bdg_erw.kml" TargetMode="External"/><Relationship Id="rId42" Type="http://schemas.openxmlformats.org/officeDocument/2006/relationships/hyperlink" Target="https://map.geo.admin.ch/?zoom=13&amp;E=2598748.988&amp;N=1199518.193&amp;layers=ch.kantone.cadastralwebmap-farbe,ch.swisstopo.amtliches-strassenverzeichnis,ch.bfs.gebaeude_wohnungs_register,KML||https://tinyurl.com/yy7ya4g9/BE/0351_bdg_erw.kml" TargetMode="External"/><Relationship Id="rId84" Type="http://schemas.openxmlformats.org/officeDocument/2006/relationships/hyperlink" Target="https://map.geo.admin.ch/?zoom=13&amp;E=2602858.38&amp;N=1204351.539&amp;layers=ch.kantone.cadastralwebmap-farbe,ch.swisstopo.amtliches-strassenverzeichnis,ch.bfs.gebaeude_wohnungs_register,KML||https://tinyurl.com/yy7ya4g9/BE/0362_bdg_erw.kml" TargetMode="External"/><Relationship Id="rId138" Type="http://schemas.openxmlformats.org/officeDocument/2006/relationships/hyperlink" Target="https://map.geo.admin.ch/?zoom=13&amp;E=2611865.312&amp;N=1213856.791&amp;layers=ch.kantone.cadastralwebmap-farbe,ch.swisstopo.amtliches-strassenverzeichnis,ch.bfs.gebaeude_wohnungs_register,KML||https://tinyurl.com/yy7ya4g9/BE/0412_bdg_erw.kml" TargetMode="External"/><Relationship Id="rId191" Type="http://schemas.openxmlformats.org/officeDocument/2006/relationships/hyperlink" Target="https://map.geo.admin.ch/?zoom=13&amp;E=2607543.829&amp;N=1195028.745&amp;layers=ch.kantone.cadastralwebmap-farbe,ch.swisstopo.amtliches-strassenverzeichnis,ch.bfs.gebaeude_wohnungs_register,KML||https://tinyurl.com/yy7ya4g9/BE/0623_bdg_erw.kml" TargetMode="External"/><Relationship Id="rId205" Type="http://schemas.openxmlformats.org/officeDocument/2006/relationships/hyperlink" Target="https://map.geo.admin.ch/?zoom=13&amp;E=2580486.481&amp;N=1219653.63&amp;layers=ch.kantone.cadastralwebmap-farbe,ch.swisstopo.amtliches-strassenverzeichnis,ch.bfs.gebaeude_wohnungs_register,KML||https://tinyurl.com/yy7ya4g9/BE/0726_bdg_erw.kml" TargetMode="External"/><Relationship Id="rId247" Type="http://schemas.openxmlformats.org/officeDocument/2006/relationships/hyperlink" Target="https://map.geo.admin.ch/?zoom=13&amp;E=2596805.377&amp;N=1180756.047&amp;layers=ch.kantone.cadastralwebmap-farbe,ch.swisstopo.amtliches-strassenverzeichnis,ch.bfs.gebaeude_wohnungs_register,KML||https://tinyurl.com/yy7ya4g9/BE/0853_bdg_erw.kml" TargetMode="External"/><Relationship Id="rId107" Type="http://schemas.openxmlformats.org/officeDocument/2006/relationships/hyperlink" Target="https://map.geo.admin.ch/?zoom=13&amp;E=2586770.18&amp;N=1221803.405&amp;layers=ch.kantone.cadastralwebmap-farbe,ch.swisstopo.amtliches-strassenverzeichnis,ch.bfs.gebaeude_wohnungs_register,KML||https://tinyurl.com/yy7ya4g9/BE/0371_bdg_erw.kml" TargetMode="External"/><Relationship Id="rId289" Type="http://schemas.openxmlformats.org/officeDocument/2006/relationships/hyperlink" Target="https://map.geo.admin.ch/?zoom=13&amp;E=2621795.087&amp;N=1179693.966&amp;layers=ch.kantone.cadastralwebmap-farbe,ch.swisstopo.amtliches-strassenverzeichnis,ch.bfs.gebaeude_wohnungs_register,KML||https://tinyurl.com/yy7ya4g9/BE/0938_bdg_erw.kml" TargetMode="External"/><Relationship Id="rId11" Type="http://schemas.openxmlformats.org/officeDocument/2006/relationships/hyperlink" Target="https://map.geo.admin.ch/?zoom=13&amp;E=2625801.915&amp;N=1228354.265&amp;layers=ch.kantone.cadastralwebmap-farbe,ch.swisstopo.amtliches-strassenverzeichnis,ch.bfs.gebaeude_wohnungs_register,KML||https://tinyurl.com/yy7ya4g9/BE/0329_bdg_erw.kml" TargetMode="External"/><Relationship Id="rId53" Type="http://schemas.openxmlformats.org/officeDocument/2006/relationships/hyperlink" Target="https://map.geo.admin.ch/?zoom=13&amp;E=2598132.909&amp;N=1202412.066&amp;layers=ch.kantone.cadastralwebmap-farbe,ch.swisstopo.amtliches-strassenverzeichnis,ch.bfs.gebaeude_wohnungs_register,KML||https://tinyurl.com/yy7ya4g9/BE/0354_bdg_erw.kml" TargetMode="External"/><Relationship Id="rId149" Type="http://schemas.openxmlformats.org/officeDocument/2006/relationships/hyperlink" Target="https://map.geo.admin.ch/?zoom=13&amp;E=2579135.277&amp;N=1222392.097&amp;layers=ch.kantone.cadastralwebmap-farbe,ch.swisstopo.amtliches-strassenverzeichnis,ch.bfs.gebaeude_wohnungs_register,KML||https://tinyurl.com/yy7ya4g9/BE/0438_bdg_erw.kml" TargetMode="External"/><Relationship Id="rId314" Type="http://schemas.openxmlformats.org/officeDocument/2006/relationships/hyperlink" Target="https://map.geo.admin.ch/?zoom=13&amp;E=2625560.059&amp;N=1208175.282&amp;layers=ch.kantone.cadastralwebmap-farbe,ch.swisstopo.amtliches-strassenverzeichnis,ch.bfs.gebaeude_wohnungs_register,KML||https://tinyurl.com/yy7ya4g9/BE/0957_bdg_erw.kml" TargetMode="External"/><Relationship Id="rId95" Type="http://schemas.openxmlformats.org/officeDocument/2006/relationships/hyperlink" Target="https://map.geo.admin.ch/?zoom=13&amp;E=2586825.879&amp;N=1220260.863&amp;layers=ch.kantone.cadastralwebmap-farbe,ch.swisstopo.amtliches-strassenverzeichnis,ch.bfs.gebaeude_wohnungs_register,KML||https://tinyurl.com/yy7ya4g9/BE/0371_bdg_erw.kml" TargetMode="External"/><Relationship Id="rId160" Type="http://schemas.openxmlformats.org/officeDocument/2006/relationships/hyperlink" Target="https://map.geo.admin.ch/?zoom=13&amp;E=2602778.999&amp;N=1215141.775&amp;layers=ch.kantone.cadastralwebmap-farbe,ch.swisstopo.amtliches-strassenverzeichnis,ch.bfs.gebaeude_wohnungs_register,KML||https://tinyurl.com/yy7ya4g9/BE/0538_bdg_erw.kml" TargetMode="External"/><Relationship Id="rId216" Type="http://schemas.openxmlformats.org/officeDocument/2006/relationships/hyperlink" Target="https://map.geo.admin.ch/?zoom=13&amp;E=2586906.993&amp;N=1218683.583&amp;layers=ch.kantone.cadastralwebmap-farbe,ch.swisstopo.amtliches-strassenverzeichnis,ch.bfs.gebaeude_wohnungs_register,KML||https://tinyurl.com/yy7ya4g9/BE/0733_bdg_erw.kml" TargetMode="External"/><Relationship Id="rId258" Type="http://schemas.openxmlformats.org/officeDocument/2006/relationships/hyperlink" Target="https://map.geo.admin.ch/?zoom=13&amp;E=2600169.944&amp;N=1188601.379&amp;layers=ch.kantone.cadastralwebmap-farbe,ch.swisstopo.amtliches-strassenverzeichnis,ch.bfs.gebaeude_wohnungs_register,KML||https://tinyurl.com/yy7ya4g9/BE/0877_bdg_erw.kml" TargetMode="External"/><Relationship Id="rId22" Type="http://schemas.openxmlformats.org/officeDocument/2006/relationships/hyperlink" Target="https://map.geo.admin.ch/?zoom=13&amp;E=2597963.181&amp;N=1199174.605&amp;layers=ch.kantone.cadastralwebmap-farbe,ch.swisstopo.amtliches-strassenverzeichnis,ch.bfs.gebaeude_wohnungs_register,KML||https://tinyurl.com/yy7ya4g9/BE/0351_bdg_erw.kml" TargetMode="External"/><Relationship Id="rId64" Type="http://schemas.openxmlformats.org/officeDocument/2006/relationships/hyperlink" Target="https://map.geo.admin.ch/?zoom=13&amp;E=2595714.878&amp;N=1194189.495&amp;layers=ch.kantone.cadastralwebmap-farbe,ch.swisstopo.amtliches-strassenverzeichnis,ch.bfs.gebaeude_wohnungs_register,KML||https://tinyurl.com/yy7ya4g9/BE/0355_bdg_erw.kml" TargetMode="External"/><Relationship Id="rId118" Type="http://schemas.openxmlformats.org/officeDocument/2006/relationships/hyperlink" Target="https://map.geo.admin.ch/?zoom=13&amp;E=2594959.891&amp;N=1225511.479&amp;layers=ch.kantone.cadastralwebmap-farbe,ch.swisstopo.amtliches-strassenverzeichnis,ch.bfs.gebaeude_wohnungs_register,KML||https://tinyurl.com/yy7ya4g9/BE/0387_bdg_erw.kml" TargetMode="External"/><Relationship Id="rId325" Type="http://schemas.openxmlformats.org/officeDocument/2006/relationships/hyperlink" Target="https://map.geo.admin.ch/?zoom=13&amp;E=2623589.017&amp;N=1208832.071&amp;layers=ch.kantone.cadastralwebmap-farbe,ch.swisstopo.amtliches-strassenverzeichnis,ch.bfs.gebaeude_wohnungs_register,KML||https://tinyurl.com/yy7ya4g9/BE/0957_bdg_erw.kml" TargetMode="External"/><Relationship Id="rId171" Type="http://schemas.openxmlformats.org/officeDocument/2006/relationships/hyperlink" Target="https://map.geo.admin.ch/?zoom=13&amp;E=2621447.845&amp;N=1166366.893&amp;layers=ch.kantone.cadastralwebmap-farbe,ch.swisstopo.amtliches-strassenverzeichnis,ch.bfs.gebaeude_wohnungs_register,KML||https://tinyurl.com/yy7ya4g9/BE/0562_bdg_erw.kml" TargetMode="External"/><Relationship Id="rId227" Type="http://schemas.openxmlformats.org/officeDocument/2006/relationships/hyperlink" Target="https://map.geo.admin.ch/?zoom=13&amp;E=2583522.289&amp;N=1218127.635&amp;layers=ch.kantone.cadastralwebmap-farbe,ch.swisstopo.amtliches-strassenverzeichnis,ch.bfs.gebaeude_wohnungs_register,KML||https://tinyurl.com/yy7ya4g9/BE/0750_bdg_erw.kml" TargetMode="External"/><Relationship Id="rId269" Type="http://schemas.openxmlformats.org/officeDocument/2006/relationships/hyperlink" Target="https://map.geo.admin.ch/?zoom=13&amp;E=2628292.169&amp;N=1201208.064&amp;layers=ch.kantone.cadastralwebmap-farbe,ch.swisstopo.amtliches-strassenverzeichnis,ch.bfs.gebaeude_wohnungs_register,KML||https://tinyurl.com/yy7ya4g9/BE/0902_bdg_erw.kml" TargetMode="External"/><Relationship Id="rId33" Type="http://schemas.openxmlformats.org/officeDocument/2006/relationships/hyperlink" Target="https://map.geo.admin.ch/?zoom=13&amp;E=2595974.346&amp;N=1198385.613&amp;layers=ch.kantone.cadastralwebmap-farbe,ch.swisstopo.amtliches-strassenverzeichnis,ch.bfs.gebaeude_wohnungs_register,KML||https://tinyurl.com/yy7ya4g9/BE/0351_bdg_erw.kml" TargetMode="External"/><Relationship Id="rId129" Type="http://schemas.openxmlformats.org/officeDocument/2006/relationships/hyperlink" Target="https://map.geo.admin.ch/?zoom=13&amp;E=2614022.923&amp;N=1211731.629&amp;layers=ch.kantone.cadastralwebmap-farbe,ch.swisstopo.amtliches-strassenverzeichnis,ch.bfs.gebaeude_wohnungs_register,KML||https://tinyurl.com/yy7ya4g9/BE/0404_bdg_erw.kml" TargetMode="External"/><Relationship Id="rId280" Type="http://schemas.openxmlformats.org/officeDocument/2006/relationships/hyperlink" Target="https://map.geo.admin.ch/?zoom=13&amp;E=2630689.35&amp;N=1196341.106&amp;layers=ch.kantone.cadastralwebmap-farbe,ch.swisstopo.amtliches-strassenverzeichnis,ch.bfs.gebaeude_wohnungs_register,KML||https://tinyurl.com/yy7ya4g9/BE/0909_bdg_erw.kml" TargetMode="External"/><Relationship Id="rId336" Type="http://schemas.openxmlformats.org/officeDocument/2006/relationships/hyperlink" Target="https://map.geo.admin.ch/?zoom=13&amp;E=2620024.426&amp;N=1226777.208&amp;layers=ch.kantone.cadastralwebmap-farbe,ch.swisstopo.amtliches-strassenverzeichnis,ch.bfs.gebaeude_wohnungs_register,KML||https://tinyurl.com/yy7ya4g9/BE/0979_bdg_erw.kml" TargetMode="External"/><Relationship Id="rId75" Type="http://schemas.openxmlformats.org/officeDocument/2006/relationships/hyperlink" Target="https://map.geo.admin.ch/?zoom=13&amp;E=2609841.897&amp;N=1201138.97&amp;layers=ch.kantone.cadastralwebmap-farbe,ch.swisstopo.amtliches-strassenverzeichnis,ch.bfs.gebaeude_wohnungs_register,KML||https://tinyurl.com/yy7ya4g9/BE/0359_bdg_erw.kml" TargetMode="External"/><Relationship Id="rId140" Type="http://schemas.openxmlformats.org/officeDocument/2006/relationships/hyperlink" Target="https://map.geo.admin.ch/?zoom=13&amp;E=2608990.009&amp;N=1208738.284&amp;layers=ch.kantone.cadastralwebmap-farbe,ch.swisstopo.amtliches-strassenverzeichnis,ch.bfs.gebaeude_wohnungs_register,KML||https://tinyurl.com/yy7ya4g9/BE/0414_bdg_erw.kml" TargetMode="External"/><Relationship Id="rId182" Type="http://schemas.openxmlformats.org/officeDocument/2006/relationships/hyperlink" Target="https://map.geo.admin.ch/?zoom=13&amp;E=2614076.763&amp;N=1197321.739&amp;layers=ch.kantone.cadastralwebmap-farbe,ch.swisstopo.amtliches-strassenverzeichnis,ch.bfs.gebaeude_wohnungs_register,KML||https://tinyurl.com/yy7ya4g9/BE/0603_bdg_erw.kml" TargetMode="External"/><Relationship Id="rId6" Type="http://schemas.openxmlformats.org/officeDocument/2006/relationships/hyperlink" Target="https://map.geo.admin.ch/?zoom=13&amp;E=2589755.138&amp;N=1212991.596&amp;layers=ch.kantone.cadastralwebmap-farbe,ch.swisstopo.amtliches-strassenverzeichnis,ch.bfs.gebaeude_wohnungs_register,KML||https://tinyurl.com/yy7ya4g9/BE/0306_bdg_erw.kml" TargetMode="External"/><Relationship Id="rId238" Type="http://schemas.openxmlformats.org/officeDocument/2006/relationships/hyperlink" Target="https://map.geo.admin.ch/?zoom=13&amp;E=2599952.255&amp;N=1146665.404&amp;layers=ch.kantone.cadastralwebmap-farbe,ch.swisstopo.amtliches-strassenverzeichnis,ch.bfs.gebaeude_wohnungs_register,KML||https://tinyurl.com/yy7ya4g9/BE/0792_bdg_erw.kml" TargetMode="External"/><Relationship Id="rId291" Type="http://schemas.openxmlformats.org/officeDocument/2006/relationships/hyperlink" Target="https://map.geo.admin.ch/?zoom=13&amp;E=2620998.069&amp;N=1173606.872&amp;layers=ch.kantone.cadastralwebmap-farbe,ch.swisstopo.amtliches-strassenverzeichnis,ch.bfs.gebaeude_wohnungs_register,KML||https://tinyurl.com/yy7ya4g9/BE/0938_bdg_erw.kml" TargetMode="External"/><Relationship Id="rId305" Type="http://schemas.openxmlformats.org/officeDocument/2006/relationships/hyperlink" Target="https://map.geo.admin.ch/?zoom=13&amp;E=2631201.862&amp;N=1214640.857&amp;layers=ch.kantone.cadastralwebmap-farbe,ch.swisstopo.amtliches-strassenverzeichnis,ch.bfs.gebaeude_wohnungs_register,KML||https://tinyurl.com/yy7ya4g9/BE/0953_bdg_erw.kml" TargetMode="External"/><Relationship Id="rId44" Type="http://schemas.openxmlformats.org/officeDocument/2006/relationships/hyperlink" Target="https://map.geo.admin.ch/?zoom=13&amp;E=2598659.831&amp;N=1199380.66&amp;layers=ch.kantone.cadastralwebmap-farbe,ch.swisstopo.amtliches-strassenverzeichnis,ch.bfs.gebaeude_wohnungs_register,KML||https://tinyurl.com/yy7ya4g9/BE/0351_bdg_erw.kml" TargetMode="External"/><Relationship Id="rId86" Type="http://schemas.openxmlformats.org/officeDocument/2006/relationships/hyperlink" Target="https://map.geo.admin.ch/?zoom=13&amp;E=2604031.166&amp;N=1200031.571&amp;layers=ch.kantone.cadastralwebmap-farbe,ch.swisstopo.amtliches-strassenverzeichnis,ch.bfs.gebaeude_wohnungs_register,KML||https://tinyurl.com/yy7ya4g9/BE/0363_bdg_erw.kml" TargetMode="External"/><Relationship Id="rId151" Type="http://schemas.openxmlformats.org/officeDocument/2006/relationships/hyperlink" Target="https://map.geo.admin.ch/?zoom=13&amp;E=2567740.686&amp;N=1223134.246&amp;layers=ch.kantone.cadastralwebmap-farbe,ch.swisstopo.amtliches-strassenverzeichnis,ch.bfs.gebaeude_wohnungs_register,KML||https://tinyurl.com/yy7ya4g9/BE/0448_bdg_erw.kml" TargetMode="External"/><Relationship Id="rId193" Type="http://schemas.openxmlformats.org/officeDocument/2006/relationships/hyperlink" Target="https://map.geo.admin.ch/?zoom=13&amp;E=2618153.996&amp;N=1191419.634&amp;layers=ch.kantone.cadastralwebmap-farbe,ch.swisstopo.amtliches-strassenverzeichnis,ch.bfs.gebaeude_wohnungs_register,KML||https://tinyurl.com/yy7ya4g9/BE/0629_bdg_erw.kml" TargetMode="External"/><Relationship Id="rId207" Type="http://schemas.openxmlformats.org/officeDocument/2006/relationships/hyperlink" Target="https://map.geo.admin.ch/?zoom=13&amp;E=2578581.661&amp;N=1220692.781&amp;layers=ch.kantone.cadastralwebmap-farbe,ch.swisstopo.amtliches-strassenverzeichnis,ch.bfs.gebaeude_wohnungs_register,KML||https://tinyurl.com/yy7ya4g9/BE/0726_bdg_erw.kml" TargetMode="External"/><Relationship Id="rId249" Type="http://schemas.openxmlformats.org/officeDocument/2006/relationships/hyperlink" Target="https://map.geo.admin.ch/?zoom=13&amp;E=2603361.418&amp;N=1194531.919&amp;layers=ch.kantone.cadastralwebmap-farbe,ch.swisstopo.amtliches-strassenverzeichnis,ch.bfs.gebaeude_wohnungs_register,KML||https://tinyurl.com/yy7ya4g9/BE/0861_bdg_erw.kml" TargetMode="External"/><Relationship Id="rId13" Type="http://schemas.openxmlformats.org/officeDocument/2006/relationships/hyperlink" Target="https://map.geo.admin.ch/?zoom=13&amp;E=2627053.047&amp;N=1223774.567&amp;layers=ch.kantone.cadastralwebmap-farbe,ch.swisstopo.amtliches-strassenverzeichnis,ch.bfs.gebaeude_wohnungs_register,KML||https://tinyurl.com/yy7ya4g9/BE/0332_bdg_erw.kml" TargetMode="External"/><Relationship Id="rId109" Type="http://schemas.openxmlformats.org/officeDocument/2006/relationships/hyperlink" Target="https://map.geo.admin.ch/?zoom=13&amp;E=2587574.048&amp;N=1222258.047&amp;layers=ch.kantone.cadastralwebmap-farbe,ch.swisstopo.amtliches-strassenverzeichnis,ch.bfs.gebaeude_wohnungs_register,KML||https://tinyurl.com/yy7ya4g9/BE/0371_bdg_erw.kml" TargetMode="External"/><Relationship Id="rId260" Type="http://schemas.openxmlformats.org/officeDocument/2006/relationships/hyperlink" Target="https://map.geo.admin.ch/?zoom=13&amp;E=2602037.942&amp;N=1189942.714&amp;layers=ch.kantone.cadastralwebmap-farbe,ch.swisstopo.amtliches-strassenverzeichnis,ch.bfs.gebaeude_wohnungs_register,KML||https://tinyurl.com/yy7ya4g9/BE/0877_bdg_erw.kml" TargetMode="External"/><Relationship Id="rId316" Type="http://schemas.openxmlformats.org/officeDocument/2006/relationships/hyperlink" Target="https://map.geo.admin.ch/?zoom=13&amp;E=2622852.435&amp;N=1209361.591&amp;layers=ch.kantone.cadastralwebmap-farbe,ch.swisstopo.amtliches-strassenverzeichnis,ch.bfs.gebaeude_wohnungs_register,KML||https://tinyurl.com/yy7ya4g9/BE/0957_bdg_erw.kml" TargetMode="External"/><Relationship Id="rId55" Type="http://schemas.openxmlformats.org/officeDocument/2006/relationships/hyperlink" Target="https://map.geo.admin.ch/?zoom=13&amp;E=2598141.274&amp;N=1202412.936&amp;layers=ch.kantone.cadastralwebmap-farbe,ch.swisstopo.amtliches-strassenverzeichnis,ch.bfs.gebaeude_wohnungs_register,KML||https://tinyurl.com/yy7ya4g9/BE/0354_bdg_erw.kml" TargetMode="External"/><Relationship Id="rId97" Type="http://schemas.openxmlformats.org/officeDocument/2006/relationships/hyperlink" Target="https://map.geo.admin.ch/?zoom=13&amp;E=2587031.697&amp;N=1219992.578&amp;layers=ch.kantone.cadastralwebmap-farbe,ch.swisstopo.amtliches-strassenverzeichnis,ch.bfs.gebaeude_wohnungs_register,KML||https://tinyurl.com/yy7ya4g9/BE/0371_bdg_erw.kml" TargetMode="External"/><Relationship Id="rId120" Type="http://schemas.openxmlformats.org/officeDocument/2006/relationships/hyperlink" Target="https://map.geo.admin.ch/?zoom=13&amp;E=2593907.4&amp;N=1223724.767&amp;layers=ch.kantone.cadastralwebmap-farbe,ch.swisstopo.amtliches-strassenverzeichnis,ch.bfs.gebaeude_wohnungs_register,KML||https://tinyurl.com/yy7ya4g9/BE/0390_bdg_erw.kml" TargetMode="External"/><Relationship Id="rId162" Type="http://schemas.openxmlformats.org/officeDocument/2006/relationships/hyperlink" Target="https://map.geo.admin.ch/?zoom=13&amp;E=2606448.68&amp;N=1215109.569&amp;layers=ch.kantone.cadastralwebmap-farbe,ch.swisstopo.amtliches-strassenverzeichnis,ch.bfs.gebaeude_wohnungs_register,KML||https://tinyurl.com/yy7ya4g9/BE/0538_bdg_erw.kml" TargetMode="External"/><Relationship Id="rId218" Type="http://schemas.openxmlformats.org/officeDocument/2006/relationships/hyperlink" Target="https://map.geo.admin.ch/?zoom=13&amp;E=2585989.536&amp;N=1212589.344&amp;layers=ch.kantone.cadastralwebmap-farbe,ch.swisstopo.amtliches-strassenverzeichnis,ch.bfs.gebaeude_wohnungs_register,KML||https://tinyurl.com/yy7ya4g9/BE/0734_bdg_erw.kml" TargetMode="External"/><Relationship Id="rId271" Type="http://schemas.openxmlformats.org/officeDocument/2006/relationships/hyperlink" Target="https://map.geo.admin.ch/?zoom=13&amp;E=2623675.509&amp;N=1202795.468&amp;layers=ch.kantone.cadastralwebmap-farbe,ch.swisstopo.amtliches-strassenverzeichnis,ch.bfs.gebaeude_wohnungs_register,KML||https://tinyurl.com/yy7ya4g9/BE/0905_bdg_erw.kml" TargetMode="External"/><Relationship Id="rId24" Type="http://schemas.openxmlformats.org/officeDocument/2006/relationships/hyperlink" Target="https://map.geo.admin.ch/?zoom=13&amp;E=2598947.214&amp;N=1199717.166&amp;layers=ch.kantone.cadastralwebmap-farbe,ch.swisstopo.amtliches-strassenverzeichnis,ch.bfs.gebaeude_wohnungs_register,KML||https://tinyurl.com/yy7ya4g9/BE/0351_bdg_erw.kml" TargetMode="External"/><Relationship Id="rId66" Type="http://schemas.openxmlformats.org/officeDocument/2006/relationships/hyperlink" Target="https://map.geo.admin.ch/?zoom=13&amp;E=2605711.508&amp;N=1197848.7&amp;layers=ch.kantone.cadastralwebmap-farbe,ch.swisstopo.amtliches-strassenverzeichnis,ch.bfs.gebaeude_wohnungs_register,KML||https://tinyurl.com/yy7ya4g9/BE/0356_bdg_erw.kml" TargetMode="External"/><Relationship Id="rId131" Type="http://schemas.openxmlformats.org/officeDocument/2006/relationships/hyperlink" Target="https://map.geo.admin.ch/?zoom=13&amp;E=2614280.74&amp;N=1211412.104&amp;layers=ch.kantone.cadastralwebmap-farbe,ch.swisstopo.amtliches-strassenverzeichnis,ch.bfs.gebaeude_wohnungs_register,KML||https://tinyurl.com/yy7ya4g9/BE/0404_bdg_erw.kml" TargetMode="External"/><Relationship Id="rId327" Type="http://schemas.openxmlformats.org/officeDocument/2006/relationships/hyperlink" Target="https://map.geo.admin.ch/?zoom=13&amp;E=2622234.497&amp;N=1209352.58&amp;layers=ch.kantone.cadastralwebmap-farbe,ch.swisstopo.amtliches-strassenverzeichnis,ch.bfs.gebaeude_wohnungs_register,KML||https://tinyurl.com/yy7ya4g9/BE/0957_bdg_erw.kml" TargetMode="External"/><Relationship Id="rId173" Type="http://schemas.openxmlformats.org/officeDocument/2006/relationships/hyperlink" Target="https://map.geo.admin.ch/?zoom=13&amp;E=2627725.274&amp;N=1172225.857&amp;layers=ch.kantone.cadastralwebmap-farbe,ch.swisstopo.amtliches-strassenverzeichnis,ch.bfs.gebaeude_wohnungs_register,KML||https://tinyurl.com/yy7ya4g9/BE/0571_bdg_erw.kml" TargetMode="External"/><Relationship Id="rId229" Type="http://schemas.openxmlformats.org/officeDocument/2006/relationships/hyperlink" Target="https://map.geo.admin.ch/?zoom=13&amp;E=2584598.614&amp;N=1211363.54&amp;layers=ch.kantone.cadastralwebmap-farbe,ch.swisstopo.amtliches-strassenverzeichnis,ch.bfs.gebaeude_wohnungs_register,KML||https://tinyurl.com/yy7ya4g9/BE/0754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3812</v>
      </c>
      <c r="AW1" s="245" t="s">
        <v>94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7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8" t="s">
        <v>95</v>
      </c>
      <c r="AY2" s="248"/>
      <c r="AZ2" s="248"/>
      <c r="BA2" s="248"/>
      <c r="BB2" s="248"/>
      <c r="BC2" s="32"/>
      <c r="BD2" s="33"/>
      <c r="BE2" s="248" t="s">
        <v>96</v>
      </c>
      <c r="BF2" s="248"/>
      <c r="BG2" s="248"/>
      <c r="BH2" s="248"/>
      <c r="BI2" s="248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9"/>
      <c r="AY3" s="249"/>
      <c r="AZ3" s="249"/>
      <c r="BA3" s="249"/>
      <c r="BB3" s="249"/>
      <c r="BC3" s="47"/>
      <c r="BD3" s="48"/>
      <c r="BE3" s="249"/>
      <c r="BF3" s="249"/>
      <c r="BG3" s="249"/>
      <c r="BH3" s="249"/>
      <c r="BI3" s="249"/>
      <c r="BJ3" s="185"/>
      <c r="BK3" s="5"/>
    </row>
    <row r="4" spans="1:63" ht="33.75" customHeight="1" x14ac:dyDescent="0.25">
      <c r="A4" s="49"/>
      <c r="B4" s="250" t="s">
        <v>23</v>
      </c>
      <c r="C4" s="250"/>
      <c r="D4" s="250"/>
      <c r="E4" s="50" t="s">
        <v>97</v>
      </c>
      <c r="F4" s="50" t="s">
        <v>98</v>
      </c>
      <c r="G4" s="50"/>
      <c r="H4" s="51"/>
      <c r="I4" s="251" t="s">
        <v>99</v>
      </c>
      <c r="J4" s="251"/>
      <c r="K4" s="251"/>
      <c r="L4" s="52"/>
      <c r="M4" s="51"/>
      <c r="N4" s="251" t="s">
        <v>100</v>
      </c>
      <c r="O4" s="251"/>
      <c r="P4" s="251"/>
      <c r="Q4" s="52"/>
      <c r="R4" s="51"/>
      <c r="S4" s="251" t="s">
        <v>101</v>
      </c>
      <c r="T4" s="251"/>
      <c r="U4" s="251"/>
      <c r="V4" s="52"/>
      <c r="W4" s="51"/>
      <c r="X4" s="251" t="s">
        <v>102</v>
      </c>
      <c r="Y4" s="251"/>
      <c r="Z4" s="251"/>
      <c r="AA4" s="52"/>
      <c r="AB4" s="53"/>
      <c r="AC4" s="251" t="s">
        <v>103</v>
      </c>
      <c r="AD4" s="251"/>
      <c r="AE4" s="251"/>
      <c r="AF4" s="54"/>
      <c r="AG4" s="55"/>
      <c r="AH4" s="251" t="s">
        <v>104</v>
      </c>
      <c r="AI4" s="251"/>
      <c r="AJ4" s="251"/>
      <c r="AK4" s="56"/>
      <c r="AL4" s="57"/>
      <c r="AM4" s="55"/>
      <c r="AN4" s="252" t="s">
        <v>105</v>
      </c>
      <c r="AO4" s="252"/>
      <c r="AP4" s="252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3" t="s">
        <v>108</v>
      </c>
      <c r="AZ4" s="253"/>
      <c r="BA4" s="253" t="s">
        <v>109</v>
      </c>
      <c r="BB4" s="253"/>
      <c r="BC4" s="61"/>
      <c r="BD4" s="62"/>
      <c r="BE4" s="59" t="s">
        <v>107</v>
      </c>
      <c r="BF4" s="253" t="s">
        <v>108</v>
      </c>
      <c r="BG4" s="253"/>
      <c r="BH4" s="253" t="s">
        <v>109</v>
      </c>
      <c r="BI4" s="253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266443</v>
      </c>
      <c r="F6" s="3">
        <v>273112</v>
      </c>
      <c r="G6" s="3"/>
      <c r="H6" s="76"/>
      <c r="I6" s="3">
        <v>2</v>
      </c>
      <c r="J6" s="3"/>
      <c r="K6" s="188">
        <v>7.506295905690898E-6</v>
      </c>
      <c r="L6" s="77"/>
      <c r="M6" s="76"/>
      <c r="N6" s="3">
        <v>0</v>
      </c>
      <c r="O6" s="3"/>
      <c r="P6" s="188">
        <v>0</v>
      </c>
      <c r="Q6" s="77"/>
      <c r="R6" s="76"/>
      <c r="S6" s="3">
        <v>3</v>
      </c>
      <c r="T6" s="3"/>
      <c r="U6" s="188">
        <v>1.1259443858536348E-5</v>
      </c>
      <c r="V6" s="77"/>
      <c r="W6" s="76"/>
      <c r="X6" s="3">
        <v>747</v>
      </c>
      <c r="Y6" s="3"/>
      <c r="Z6" s="188">
        <v>2.7351416268783504E-3</v>
      </c>
      <c r="AA6" s="77"/>
      <c r="AB6" s="78"/>
      <c r="AC6" s="79">
        <v>1354</v>
      </c>
      <c r="AD6" s="80"/>
      <c r="AE6" s="81">
        <v>5.0819999999999997E-3</v>
      </c>
      <c r="AF6" s="82"/>
      <c r="AG6" s="83"/>
      <c r="AH6" s="79">
        <v>450</v>
      </c>
      <c r="AI6" s="79"/>
      <c r="AJ6" s="81">
        <v>1.689E-3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1256</v>
      </c>
      <c r="AU6" s="190"/>
      <c r="AV6" s="3"/>
      <c r="AW6" s="76"/>
      <c r="AX6" s="189">
        <v>104895</v>
      </c>
      <c r="AY6" s="189">
        <v>101337</v>
      </c>
      <c r="AZ6" s="87">
        <v>0.96608036608036607</v>
      </c>
      <c r="BA6" s="189">
        <v>99550</v>
      </c>
      <c r="BB6" s="191">
        <v>0.94904428237761573</v>
      </c>
      <c r="BC6" s="192"/>
      <c r="BD6" s="193"/>
      <c r="BE6" s="189">
        <v>49760</v>
      </c>
      <c r="BF6" s="189">
        <v>47005</v>
      </c>
      <c r="BG6" s="191">
        <v>0.94463424437299037</v>
      </c>
      <c r="BH6" s="189">
        <v>46658</v>
      </c>
      <c r="BI6" s="191">
        <v>0.93766077170418005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9600</v>
      </c>
      <c r="F7" s="31">
        <v>9761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3940</v>
      </c>
      <c r="AY7" s="195">
        <v>3937</v>
      </c>
      <c r="AZ7" s="100">
        <v>0.99923857868020305</v>
      </c>
      <c r="BA7" s="195">
        <v>3818</v>
      </c>
      <c r="BB7" s="197">
        <v>0.96903553299492384</v>
      </c>
      <c r="BC7" s="198"/>
      <c r="BD7" s="199"/>
      <c r="BE7" s="195">
        <v>2722</v>
      </c>
      <c r="BF7" s="195">
        <v>2721</v>
      </c>
      <c r="BG7" s="197">
        <v>0.9996326230712711</v>
      </c>
      <c r="BH7" s="195">
        <v>2675</v>
      </c>
      <c r="BI7" s="197">
        <v>0.98273328434974283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27802</v>
      </c>
      <c r="F8" s="3">
        <v>28175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1.0790590604992446E-4</v>
      </c>
      <c r="V8" s="77"/>
      <c r="W8" s="76"/>
      <c r="X8" s="3">
        <v>20</v>
      </c>
      <c r="Y8" s="3"/>
      <c r="Z8" s="188">
        <v>7.0984915705412602E-4</v>
      </c>
      <c r="AA8" s="77"/>
      <c r="AB8" s="101"/>
      <c r="AC8" s="102">
        <v>99</v>
      </c>
      <c r="AD8" s="103"/>
      <c r="AE8" s="81">
        <v>3.5609999999999999E-3</v>
      </c>
      <c r="AF8" s="104"/>
      <c r="AG8" s="105"/>
      <c r="AH8" s="102">
        <v>39</v>
      </c>
      <c r="AI8" s="106"/>
      <c r="AJ8" s="81">
        <v>1.403E-3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11050</v>
      </c>
      <c r="AY8" s="189">
        <v>10636</v>
      </c>
      <c r="AZ8" s="87">
        <v>0.96253393665158371</v>
      </c>
      <c r="BA8" s="189">
        <v>9277</v>
      </c>
      <c r="BB8" s="191">
        <v>0.83954751131221717</v>
      </c>
      <c r="BC8" s="192"/>
      <c r="BD8" s="193"/>
      <c r="BE8" s="189">
        <v>6342</v>
      </c>
      <c r="BF8" s="189">
        <v>6036</v>
      </c>
      <c r="BG8" s="191">
        <v>0.95175023651844848</v>
      </c>
      <c r="BH8" s="189">
        <v>5329</v>
      </c>
      <c r="BI8" s="191">
        <v>0.84027120782087672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457546</v>
      </c>
      <c r="F9" s="31">
        <v>462890</v>
      </c>
      <c r="G9" s="194"/>
      <c r="H9" s="49"/>
      <c r="I9" s="31">
        <v>1</v>
      </c>
      <c r="J9" s="31"/>
      <c r="K9" s="188">
        <v>2.1855725981649933E-6</v>
      </c>
      <c r="L9" s="108"/>
      <c r="M9" s="49"/>
      <c r="N9" s="31">
        <v>0</v>
      </c>
      <c r="O9" s="31"/>
      <c r="P9" s="188">
        <v>0</v>
      </c>
      <c r="Q9" s="108"/>
      <c r="R9" s="49"/>
      <c r="S9" s="31">
        <v>69</v>
      </c>
      <c r="T9" s="31"/>
      <c r="U9" s="188">
        <v>1.5080450927338455E-4</v>
      </c>
      <c r="V9" s="108"/>
      <c r="W9" s="49"/>
      <c r="X9" s="31">
        <v>112</v>
      </c>
      <c r="Y9" s="31"/>
      <c r="Z9" s="188">
        <v>2.4195813260169803E-4</v>
      </c>
      <c r="AA9" s="108"/>
      <c r="AB9" s="90"/>
      <c r="AC9" s="91">
        <v>1133</v>
      </c>
      <c r="AD9" s="92"/>
      <c r="AE9" s="93">
        <v>2.4759999999999999E-3</v>
      </c>
      <c r="AF9" s="109"/>
      <c r="AG9" s="95"/>
      <c r="AH9" s="91">
        <v>338</v>
      </c>
      <c r="AI9" s="96"/>
      <c r="AJ9" s="93">
        <v>7.3899999999999997E-4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1045</v>
      </c>
      <c r="AU9" s="196"/>
      <c r="AV9" s="5"/>
      <c r="AW9" s="51"/>
      <c r="AX9" s="195">
        <v>190763</v>
      </c>
      <c r="AY9" s="195">
        <v>161081</v>
      </c>
      <c r="AZ9" s="100">
        <v>0.84440378899472124</v>
      </c>
      <c r="BA9" s="195">
        <v>148011</v>
      </c>
      <c r="BB9" s="197">
        <v>0.77588945445395596</v>
      </c>
      <c r="BC9" s="198"/>
      <c r="BD9" s="199"/>
      <c r="BE9" s="195">
        <v>109318</v>
      </c>
      <c r="BF9" s="195">
        <v>103334</v>
      </c>
      <c r="BG9" s="197">
        <v>0.94526061581807208</v>
      </c>
      <c r="BH9" s="195">
        <v>97169</v>
      </c>
      <c r="BI9" s="197">
        <v>0.88886551162663052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115242</v>
      </c>
      <c r="F10" s="3">
        <v>122164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9</v>
      </c>
      <c r="T10" s="3"/>
      <c r="U10" s="188">
        <v>7.8096527307752387E-5</v>
      </c>
      <c r="V10" s="77"/>
      <c r="W10" s="76"/>
      <c r="X10" s="3">
        <v>20</v>
      </c>
      <c r="Y10" s="3"/>
      <c r="Z10" s="188">
        <v>1.637143512000262E-4</v>
      </c>
      <c r="AA10" s="77"/>
      <c r="AB10" s="78"/>
      <c r="AC10" s="79">
        <v>463</v>
      </c>
      <c r="AD10" s="80"/>
      <c r="AE10" s="81">
        <v>4.0179999999999999E-3</v>
      </c>
      <c r="AF10" s="82"/>
      <c r="AG10" s="83"/>
      <c r="AH10" s="79">
        <v>83</v>
      </c>
      <c r="AI10" s="79"/>
      <c r="AJ10" s="81">
        <v>7.2000000000000005E-4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9</v>
      </c>
      <c r="AU10" s="190"/>
      <c r="AV10" s="3"/>
      <c r="AW10" s="76"/>
      <c r="AX10" s="189">
        <v>36292</v>
      </c>
      <c r="AY10" s="189">
        <v>36292</v>
      </c>
      <c r="AZ10" s="87">
        <v>1</v>
      </c>
      <c r="BA10" s="189">
        <v>28953</v>
      </c>
      <c r="BB10" s="191">
        <v>0.79777912487600577</v>
      </c>
      <c r="BC10" s="192"/>
      <c r="BD10" s="193"/>
      <c r="BE10" s="189">
        <v>15487</v>
      </c>
      <c r="BF10" s="189">
        <v>15487</v>
      </c>
      <c r="BG10" s="191">
        <v>1</v>
      </c>
      <c r="BH10" s="189">
        <v>14052</v>
      </c>
      <c r="BI10" s="191">
        <v>0.90734164137663842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6200</v>
      </c>
      <c r="AY11" s="201">
        <v>6200</v>
      </c>
      <c r="AZ11" s="100">
        <v>1</v>
      </c>
      <c r="BA11" s="201">
        <v>6197</v>
      </c>
      <c r="BB11" s="194">
        <v>0.99951612903225806</v>
      </c>
      <c r="BC11" s="203"/>
      <c r="BD11" s="204"/>
      <c r="BE11" s="201">
        <v>3965</v>
      </c>
      <c r="BF11" s="201">
        <v>3965</v>
      </c>
      <c r="BG11" s="194">
        <v>1</v>
      </c>
      <c r="BH11" s="201">
        <v>3963</v>
      </c>
      <c r="BI11" s="194">
        <v>0.99949558638083225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149357</v>
      </c>
      <c r="F12" s="3">
        <v>151358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0</v>
      </c>
      <c r="T12" s="3"/>
      <c r="U12" s="188">
        <v>0</v>
      </c>
      <c r="V12" s="77"/>
      <c r="W12" s="76"/>
      <c r="X12" s="3">
        <v>7</v>
      </c>
      <c r="Y12" s="3"/>
      <c r="Z12" s="188">
        <v>4.6247968392817032E-5</v>
      </c>
      <c r="AA12" s="77"/>
      <c r="AB12" s="101"/>
      <c r="AC12" s="106">
        <v>2047</v>
      </c>
      <c r="AD12" s="103"/>
      <c r="AE12" s="112">
        <v>1.3705E-2</v>
      </c>
      <c r="AF12" s="104"/>
      <c r="AG12" s="105"/>
      <c r="AH12" s="106">
        <v>1116</v>
      </c>
      <c r="AI12" s="106"/>
      <c r="AJ12" s="112">
        <v>7.4720000000000003E-3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2499</v>
      </c>
      <c r="AU12" s="190"/>
      <c r="AV12" s="3"/>
      <c r="AW12" s="76"/>
      <c r="AX12" s="189">
        <v>64540</v>
      </c>
      <c r="AY12" s="189">
        <v>62291</v>
      </c>
      <c r="AZ12" s="87">
        <v>0.96515339324449956</v>
      </c>
      <c r="BA12" s="189">
        <v>45669</v>
      </c>
      <c r="BB12" s="191">
        <v>0.70760768515649208</v>
      </c>
      <c r="BC12" s="192"/>
      <c r="BD12" s="193"/>
      <c r="BE12" s="189">
        <v>30927</v>
      </c>
      <c r="BF12" s="189">
        <v>28933</v>
      </c>
      <c r="BG12" s="191">
        <v>0.93552559252433154</v>
      </c>
      <c r="BH12" s="189">
        <v>23605</v>
      </c>
      <c r="BI12" s="191">
        <v>0.76324894105474184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254</v>
      </c>
      <c r="AD13" s="92"/>
      <c r="AE13" s="111">
        <v>3.9439999999999996E-3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28589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111</v>
      </c>
      <c r="AD14" s="103"/>
      <c r="AE14" s="112">
        <v>4.143E-3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9</v>
      </c>
      <c r="AU14" s="190"/>
      <c r="AV14" s="3"/>
      <c r="AW14" s="76"/>
      <c r="AX14" s="189">
        <v>12319</v>
      </c>
      <c r="AY14" s="189">
        <v>9703</v>
      </c>
      <c r="AZ14" s="87">
        <v>0.78764510106339802</v>
      </c>
      <c r="BA14" s="189">
        <v>9108</v>
      </c>
      <c r="BB14" s="191">
        <v>0.73934572611413263</v>
      </c>
      <c r="BC14" s="192"/>
      <c r="BD14" s="193"/>
      <c r="BE14" s="189">
        <v>7100</v>
      </c>
      <c r="BF14" s="189">
        <v>6459</v>
      </c>
      <c r="BG14" s="191">
        <v>0.90971830985915492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115752</v>
      </c>
      <c r="F15" s="31">
        <v>122725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62</v>
      </c>
      <c r="T15" s="31"/>
      <c r="U15" s="200">
        <v>5.3562789411846015E-4</v>
      </c>
      <c r="V15" s="89"/>
      <c r="W15" s="49"/>
      <c r="X15" s="31">
        <v>105</v>
      </c>
      <c r="Y15" s="31"/>
      <c r="Z15" s="200">
        <v>8.5557139947036061E-4</v>
      </c>
      <c r="AA15" s="89"/>
      <c r="AB15" s="90"/>
      <c r="AC15" s="96">
        <v>706</v>
      </c>
      <c r="AD15" s="92"/>
      <c r="AE15" s="111">
        <v>6.0990000000000003E-3</v>
      </c>
      <c r="AF15" s="94"/>
      <c r="AG15" s="95"/>
      <c r="AH15" s="96">
        <v>457</v>
      </c>
      <c r="AI15" s="96"/>
      <c r="AJ15" s="111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89"/>
      <c r="AR15" s="31"/>
      <c r="AS15" s="49"/>
      <c r="AT15" s="201">
        <v>31596</v>
      </c>
      <c r="AU15" s="202"/>
      <c r="AV15" s="31"/>
      <c r="AW15" s="49"/>
      <c r="AX15" s="201">
        <v>38377</v>
      </c>
      <c r="AY15" s="201">
        <v>36121</v>
      </c>
      <c r="AZ15" s="100">
        <v>0.94121479010865883</v>
      </c>
      <c r="BA15" s="201">
        <v>31904</v>
      </c>
      <c r="BB15" s="194">
        <v>0.83133126612293817</v>
      </c>
      <c r="BC15" s="203"/>
      <c r="BD15" s="204"/>
      <c r="BE15" s="201">
        <v>25333</v>
      </c>
      <c r="BF15" s="201">
        <v>23645</v>
      </c>
      <c r="BG15" s="194">
        <v>0.93336754430979352</v>
      </c>
      <c r="BH15" s="201">
        <v>20817</v>
      </c>
      <c r="BI15" s="194">
        <v>0.82173449650653296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47104</v>
      </c>
      <c r="F16" s="3">
        <v>47365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1</v>
      </c>
      <c r="T16" s="3"/>
      <c r="U16" s="188">
        <v>2.1229619565217391E-5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238</v>
      </c>
      <c r="AD16" s="103"/>
      <c r="AE16" s="112">
        <v>5.0530000000000002E-3</v>
      </c>
      <c r="AF16" s="104"/>
      <c r="AG16" s="105"/>
      <c r="AH16" s="106">
        <v>27</v>
      </c>
      <c r="AI16" s="106"/>
      <c r="AJ16" s="112">
        <v>5.7300000000000005E-4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208</v>
      </c>
      <c r="AU16" s="190"/>
      <c r="AV16" s="3"/>
      <c r="AW16" s="76"/>
      <c r="AX16" s="189">
        <v>23276</v>
      </c>
      <c r="AY16" s="189">
        <v>20655</v>
      </c>
      <c r="AZ16" s="87">
        <v>0.88739474136449559</v>
      </c>
      <c r="BA16" s="189">
        <v>19948</v>
      </c>
      <c r="BB16" s="191">
        <v>0.8570201065475167</v>
      </c>
      <c r="BC16" s="192"/>
      <c r="BD16" s="193"/>
      <c r="BE16" s="189">
        <v>11476</v>
      </c>
      <c r="BF16" s="189">
        <v>10207</v>
      </c>
      <c r="BG16" s="191">
        <v>0.88942140118508195</v>
      </c>
      <c r="BH16" s="189">
        <v>10038</v>
      </c>
      <c r="BI16" s="191">
        <v>0.8746950156849076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135551</v>
      </c>
      <c r="F17" s="31">
        <v>138622</v>
      </c>
      <c r="G17" s="194"/>
      <c r="H17" s="49"/>
      <c r="I17" s="31">
        <v>1</v>
      </c>
      <c r="J17" s="31"/>
      <c r="K17" s="200">
        <v>7.3772971058863451E-6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0</v>
      </c>
      <c r="T17" s="31"/>
      <c r="U17" s="200">
        <v>0</v>
      </c>
      <c r="V17" s="89"/>
      <c r="W17" s="49"/>
      <c r="X17" s="31">
        <v>289</v>
      </c>
      <c r="Y17" s="31"/>
      <c r="Z17" s="200">
        <v>2.0848061635238275E-3</v>
      </c>
      <c r="AA17" s="89"/>
      <c r="AB17" s="90"/>
      <c r="AC17" s="96">
        <v>641</v>
      </c>
      <c r="AD17" s="92"/>
      <c r="AE17" s="111">
        <v>4.7289999999999997E-3</v>
      </c>
      <c r="AF17" s="94"/>
      <c r="AG17" s="95"/>
      <c r="AH17" s="96">
        <v>295</v>
      </c>
      <c r="AI17" s="96"/>
      <c r="AJ17" s="111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186</v>
      </c>
      <c r="AU17" s="202"/>
      <c r="AV17" s="31"/>
      <c r="AW17" s="49"/>
      <c r="AX17" s="201">
        <v>56780</v>
      </c>
      <c r="AY17" s="201">
        <v>54957</v>
      </c>
      <c r="AZ17" s="100">
        <v>0.96789362451567451</v>
      </c>
      <c r="BA17" s="201">
        <v>41067</v>
      </c>
      <c r="BB17" s="194">
        <v>0.72326523423740752</v>
      </c>
      <c r="BC17" s="203"/>
      <c r="BD17" s="204"/>
      <c r="BE17" s="201">
        <v>34768</v>
      </c>
      <c r="BF17" s="201">
        <v>33138</v>
      </c>
      <c r="BG17" s="194">
        <v>0.95311780947998159</v>
      </c>
      <c r="BH17" s="201">
        <v>27973</v>
      </c>
      <c r="BI17" s="194">
        <v>0.80456166589967781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62484</v>
      </c>
      <c r="F18" s="3">
        <v>63732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55</v>
      </c>
      <c r="Y18" s="3"/>
      <c r="Z18" s="188">
        <v>8.6298876545534426E-4</v>
      </c>
      <c r="AA18" s="77"/>
      <c r="AB18" s="101"/>
      <c r="AC18" s="106">
        <v>1266</v>
      </c>
      <c r="AD18" s="103"/>
      <c r="AE18" s="112">
        <v>2.0261000000000001E-2</v>
      </c>
      <c r="AF18" s="104"/>
      <c r="AG18" s="105"/>
      <c r="AH18" s="106">
        <v>98</v>
      </c>
      <c r="AI18" s="106"/>
      <c r="AJ18" s="112">
        <v>1.5679999999999999E-3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432</v>
      </c>
      <c r="AU18" s="190"/>
      <c r="AV18" s="3"/>
      <c r="AW18" s="76"/>
      <c r="AX18" s="189">
        <v>25642</v>
      </c>
      <c r="AY18" s="189">
        <v>24271</v>
      </c>
      <c r="AZ18" s="87">
        <v>0.94653303174479375</v>
      </c>
      <c r="BA18" s="189">
        <v>15899</v>
      </c>
      <c r="BB18" s="191">
        <v>0.62003743857733407</v>
      </c>
      <c r="BC18" s="192"/>
      <c r="BD18" s="193"/>
      <c r="BE18" s="189">
        <v>12180</v>
      </c>
      <c r="BF18" s="189">
        <v>10874</v>
      </c>
      <c r="BG18" s="191">
        <v>0.89277504105090311</v>
      </c>
      <c r="BH18" s="189">
        <v>9431</v>
      </c>
      <c r="BI18" s="191">
        <v>0.77430213464696218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14753</v>
      </c>
      <c r="F19" s="31">
        <v>15093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1.3556564766488172E-4</v>
      </c>
      <c r="V19" s="89"/>
      <c r="W19" s="49"/>
      <c r="X19" s="31">
        <v>279</v>
      </c>
      <c r="Y19" s="31"/>
      <c r="Z19" s="200">
        <v>1.8485390578413835E-2</v>
      </c>
      <c r="AA19" s="89"/>
      <c r="AB19" s="90"/>
      <c r="AC19" s="96">
        <v>79</v>
      </c>
      <c r="AD19" s="92"/>
      <c r="AE19" s="111">
        <v>5.3550000000000004E-3</v>
      </c>
      <c r="AF19" s="94"/>
      <c r="AG19" s="95"/>
      <c r="AH19" s="96">
        <v>90</v>
      </c>
      <c r="AI19" s="96"/>
      <c r="AJ19" s="111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89"/>
      <c r="AR19" s="31"/>
      <c r="AS19" s="49"/>
      <c r="AT19" s="201">
        <v>32</v>
      </c>
      <c r="AU19" s="202"/>
      <c r="AV19" s="31"/>
      <c r="AW19" s="49"/>
      <c r="AX19" s="201">
        <v>6124</v>
      </c>
      <c r="AY19" s="201">
        <v>4727</v>
      </c>
      <c r="AZ19" s="100">
        <v>0.77188112344872628</v>
      </c>
      <c r="BA19" s="201">
        <v>3953</v>
      </c>
      <c r="BB19" s="194">
        <v>0.64549314173742656</v>
      </c>
      <c r="BC19" s="203"/>
      <c r="BD19" s="204"/>
      <c r="BE19" s="201">
        <v>3464</v>
      </c>
      <c r="BF19" s="201">
        <v>2889</v>
      </c>
      <c r="BG19" s="194">
        <v>0.83400692840646651</v>
      </c>
      <c r="BH19" s="201">
        <v>2428</v>
      </c>
      <c r="BI19" s="194">
        <v>0.70092378752886841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20572</v>
      </c>
      <c r="F20" s="3">
        <v>21000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3.4026832587983669E-4</v>
      </c>
      <c r="V20" s="77"/>
      <c r="W20" s="76"/>
      <c r="X20" s="3">
        <v>155</v>
      </c>
      <c r="Y20" s="3"/>
      <c r="Z20" s="188">
        <v>7.3809523809523813E-3</v>
      </c>
      <c r="AA20" s="77"/>
      <c r="AB20" s="101"/>
      <c r="AC20" s="106">
        <v>1189</v>
      </c>
      <c r="AD20" s="103"/>
      <c r="AE20" s="112">
        <v>5.7797000000000001E-2</v>
      </c>
      <c r="AF20" s="104"/>
      <c r="AG20" s="105"/>
      <c r="AH20" s="106">
        <v>182</v>
      </c>
      <c r="AI20" s="106"/>
      <c r="AJ20" s="112">
        <v>8.8470000000000007E-3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31</v>
      </c>
      <c r="AU20" s="190"/>
      <c r="AV20" s="3"/>
      <c r="AW20" s="76"/>
      <c r="AX20" s="189">
        <v>10187</v>
      </c>
      <c r="AY20" s="189">
        <v>7885</v>
      </c>
      <c r="AZ20" s="87">
        <v>0.77402571905369588</v>
      </c>
      <c r="BA20" s="189">
        <v>6764</v>
      </c>
      <c r="BB20" s="191">
        <v>0.66398350839304998</v>
      </c>
      <c r="BC20" s="192"/>
      <c r="BD20" s="193"/>
      <c r="BE20" s="189">
        <v>5687</v>
      </c>
      <c r="BF20" s="189">
        <v>4635</v>
      </c>
      <c r="BG20" s="191">
        <v>0.81501670476525412</v>
      </c>
      <c r="BH20" s="189">
        <v>4116</v>
      </c>
      <c r="BI20" s="191">
        <v>0.72375593458765608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208512</v>
      </c>
      <c r="F21" s="31">
        <v>213427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4.7958870472682623E-6</v>
      </c>
      <c r="Q21" s="89"/>
      <c r="R21" s="49"/>
      <c r="S21" s="31">
        <v>9</v>
      </c>
      <c r="T21" s="31"/>
      <c r="U21" s="200">
        <v>4.3162983425414363E-5</v>
      </c>
      <c r="V21" s="89"/>
      <c r="W21" s="49"/>
      <c r="X21" s="31">
        <v>91</v>
      </c>
      <c r="Y21" s="31"/>
      <c r="Z21" s="200">
        <v>4.2637529459721592E-4</v>
      </c>
      <c r="AA21" s="89"/>
      <c r="AB21" s="90"/>
      <c r="AC21" s="96">
        <v>593</v>
      </c>
      <c r="AD21" s="92"/>
      <c r="AE21" s="111">
        <v>2.8440000000000002E-3</v>
      </c>
      <c r="AF21" s="94"/>
      <c r="AG21" s="95"/>
      <c r="AH21" s="96">
        <v>254</v>
      </c>
      <c r="AI21" s="96"/>
      <c r="AJ21" s="111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64</v>
      </c>
      <c r="AU21" s="202"/>
      <c r="AV21" s="31"/>
      <c r="AW21" s="49"/>
      <c r="AX21" s="201">
        <v>83258</v>
      </c>
      <c r="AY21" s="201">
        <v>75706</v>
      </c>
      <c r="AZ21" s="100">
        <v>0.909294001777607</v>
      </c>
      <c r="BA21" s="201">
        <v>70015</v>
      </c>
      <c r="BB21" s="194">
        <v>0.84094020994979457</v>
      </c>
      <c r="BC21" s="203"/>
      <c r="BD21" s="204"/>
      <c r="BE21" s="201">
        <v>54673</v>
      </c>
      <c r="BF21" s="201">
        <v>50976</v>
      </c>
      <c r="BG21" s="194">
        <v>0.93237978526877985</v>
      </c>
      <c r="BH21" s="201">
        <v>48719</v>
      </c>
      <c r="BI21" s="194">
        <v>0.89109798255080208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33655</v>
      </c>
      <c r="F22" s="3">
        <v>36092</v>
      </c>
      <c r="G22" s="191"/>
      <c r="H22" s="76"/>
      <c r="I22" s="3">
        <v>1</v>
      </c>
      <c r="J22" s="3"/>
      <c r="K22" s="188">
        <v>2.9713266973703759E-5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5.9426533947407518E-5</v>
      </c>
      <c r="V22" s="77"/>
      <c r="W22" s="76"/>
      <c r="X22" s="3">
        <v>1400</v>
      </c>
      <c r="Y22" s="3"/>
      <c r="Z22" s="188">
        <v>3.8789759503491075E-2</v>
      </c>
      <c r="AA22" s="77"/>
      <c r="AB22" s="101"/>
      <c r="AC22" s="106">
        <v>396</v>
      </c>
      <c r="AD22" s="103"/>
      <c r="AE22" s="112">
        <v>1.1766E-2</v>
      </c>
      <c r="AF22" s="104"/>
      <c r="AG22" s="105"/>
      <c r="AH22" s="106">
        <v>449</v>
      </c>
      <c r="AI22" s="106"/>
      <c r="AJ22" s="112">
        <v>1.3341E-2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47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6206</v>
      </c>
      <c r="BF22" s="189">
        <v>5500</v>
      </c>
      <c r="BG22" s="191">
        <v>0.88623912342893973</v>
      </c>
      <c r="BH22" s="189">
        <v>5956</v>
      </c>
      <c r="BI22" s="191">
        <v>0.95971640348050269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112237</v>
      </c>
      <c r="F23" s="31">
        <v>113255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21</v>
      </c>
      <c r="T23" s="31"/>
      <c r="U23" s="200">
        <v>1.871040744139633E-4</v>
      </c>
      <c r="V23" s="89"/>
      <c r="W23" s="49"/>
      <c r="X23" s="31">
        <v>92</v>
      </c>
      <c r="Y23" s="31"/>
      <c r="Z23" s="200">
        <v>8.1232616661516051E-4</v>
      </c>
      <c r="AA23" s="89"/>
      <c r="AB23" s="90"/>
      <c r="AC23" s="96">
        <v>772</v>
      </c>
      <c r="AD23" s="92"/>
      <c r="AE23" s="111">
        <v>6.8780000000000004E-3</v>
      </c>
      <c r="AF23" s="94"/>
      <c r="AG23" s="95"/>
      <c r="AH23" s="96">
        <v>336</v>
      </c>
      <c r="AI23" s="96"/>
      <c r="AJ23" s="111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513</v>
      </c>
      <c r="AU23" s="202"/>
      <c r="AV23" s="31"/>
      <c r="AW23" s="49"/>
      <c r="AX23" s="201">
        <v>40342</v>
      </c>
      <c r="AY23" s="201">
        <v>34801</v>
      </c>
      <c r="AZ23" s="100">
        <v>0.86264934807396754</v>
      </c>
      <c r="BA23" s="201">
        <v>33619</v>
      </c>
      <c r="BB23" s="194">
        <v>0.83334985870804623</v>
      </c>
      <c r="BC23" s="203"/>
      <c r="BD23" s="204"/>
      <c r="BE23" s="201">
        <v>18561</v>
      </c>
      <c r="BF23" s="201">
        <v>16777</v>
      </c>
      <c r="BG23" s="194">
        <v>0.90388448898227469</v>
      </c>
      <c r="BH23" s="201">
        <v>16292</v>
      </c>
      <c r="BI23" s="194">
        <v>0.87775443133451858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56208</v>
      </c>
      <c r="F24" s="3">
        <v>57740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7</v>
      </c>
      <c r="T24" s="3"/>
      <c r="U24" s="188">
        <v>1.2453743239396528E-4</v>
      </c>
      <c r="V24" s="77"/>
      <c r="W24" s="76"/>
      <c r="X24" s="3">
        <v>10</v>
      </c>
      <c r="Y24" s="3"/>
      <c r="Z24" s="188">
        <v>1.7319016279875303E-4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196</v>
      </c>
      <c r="AI24" s="106"/>
      <c r="AJ24" s="112">
        <v>3.4870000000000001E-3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68</v>
      </c>
      <c r="AU24" s="190"/>
      <c r="AV24" s="3"/>
      <c r="AW24" s="76"/>
      <c r="AX24" s="189">
        <v>23185</v>
      </c>
      <c r="AY24" s="189">
        <v>21098</v>
      </c>
      <c r="AZ24" s="87">
        <v>0.90998490403277976</v>
      </c>
      <c r="BA24" s="189">
        <v>19140</v>
      </c>
      <c r="BB24" s="191">
        <v>0.82553375026957088</v>
      </c>
      <c r="BC24" s="192"/>
      <c r="BD24" s="193"/>
      <c r="BE24" s="189">
        <v>14611</v>
      </c>
      <c r="BF24" s="189">
        <v>13093</v>
      </c>
      <c r="BG24" s="191">
        <v>0.89610567380740536</v>
      </c>
      <c r="BH24" s="189">
        <v>11851</v>
      </c>
      <c r="BI24" s="191">
        <v>0.81110122510437344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114436</v>
      </c>
      <c r="F25" s="31">
        <v>116893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10</v>
      </c>
      <c r="T25" s="31"/>
      <c r="U25" s="200">
        <v>8.7385088608479852E-5</v>
      </c>
      <c r="V25" s="89"/>
      <c r="W25" s="49"/>
      <c r="X25" s="31">
        <v>30</v>
      </c>
      <c r="Y25" s="31"/>
      <c r="Z25" s="200">
        <v>2.5664496590899368E-4</v>
      </c>
      <c r="AA25" s="89"/>
      <c r="AB25" s="90"/>
      <c r="AC25" s="96">
        <v>865</v>
      </c>
      <c r="AD25" s="92"/>
      <c r="AE25" s="111">
        <v>7.5589999999999997E-3</v>
      </c>
      <c r="AF25" s="94"/>
      <c r="AG25" s="95"/>
      <c r="AH25" s="96">
        <v>215</v>
      </c>
      <c r="AI25" s="96"/>
      <c r="AJ25" s="111">
        <v>1.879E-3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45</v>
      </c>
      <c r="AU25" s="202"/>
      <c r="AV25" s="31"/>
      <c r="AW25" s="49"/>
      <c r="AX25" s="201">
        <v>46469</v>
      </c>
      <c r="AY25" s="201">
        <v>37040</v>
      </c>
      <c r="AZ25" s="100">
        <v>0.79709053347392889</v>
      </c>
      <c r="BA25" s="201">
        <v>34211</v>
      </c>
      <c r="BB25" s="194">
        <v>0.73621123759925977</v>
      </c>
      <c r="BC25" s="203"/>
      <c r="BD25" s="204"/>
      <c r="BE25" s="201">
        <v>28346</v>
      </c>
      <c r="BF25" s="201">
        <v>24664</v>
      </c>
      <c r="BG25" s="194">
        <v>0.8701051294715304</v>
      </c>
      <c r="BH25" s="201">
        <v>23720</v>
      </c>
      <c r="BI25" s="194">
        <v>0.83680237070486141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183092</v>
      </c>
      <c r="F26" s="3">
        <v>188557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1.6385205252004456E-5</v>
      </c>
      <c r="Q26" s="77"/>
      <c r="R26" s="76"/>
      <c r="S26" s="3">
        <v>5</v>
      </c>
      <c r="T26" s="3"/>
      <c r="U26" s="188">
        <v>2.7308675420007429E-5</v>
      </c>
      <c r="V26" s="77"/>
      <c r="W26" s="76"/>
      <c r="X26" s="3">
        <v>65662</v>
      </c>
      <c r="Y26" s="3"/>
      <c r="Z26" s="188">
        <v>0.34823422095175466</v>
      </c>
      <c r="AA26" s="77"/>
      <c r="AB26" s="101"/>
      <c r="AC26" s="106">
        <v>4414</v>
      </c>
      <c r="AD26" s="103"/>
      <c r="AE26" s="112">
        <v>2.4108000000000001E-2</v>
      </c>
      <c r="AF26" s="104"/>
      <c r="AG26" s="105"/>
      <c r="AH26" s="106">
        <v>370</v>
      </c>
      <c r="AI26" s="106"/>
      <c r="AJ26" s="112">
        <v>2.0209999999999998E-3</v>
      </c>
      <c r="AK26" s="107"/>
      <c r="AL26" s="3"/>
      <c r="AM26" s="76"/>
      <c r="AN26" s="85">
        <v>49</v>
      </c>
      <c r="AO26" s="85"/>
      <c r="AP26" s="86">
        <v>0.45370370370370372</v>
      </c>
      <c r="AQ26" s="77"/>
      <c r="AR26" s="3"/>
      <c r="AS26" s="76"/>
      <c r="AT26" s="189">
        <v>22393</v>
      </c>
      <c r="AU26" s="190"/>
      <c r="AV26" s="3"/>
      <c r="AW26" s="76"/>
      <c r="AX26" s="189">
        <v>68837</v>
      </c>
      <c r="AY26" s="189">
        <v>56694</v>
      </c>
      <c r="AZ26" s="87">
        <v>0.82359777445269255</v>
      </c>
      <c r="BA26" s="189">
        <v>63151</v>
      </c>
      <c r="BB26" s="191">
        <v>0.91739907317285763</v>
      </c>
      <c r="BC26" s="192"/>
      <c r="BD26" s="193"/>
      <c r="BE26" s="189">
        <v>37029</v>
      </c>
      <c r="BF26" s="189">
        <v>30583</v>
      </c>
      <c r="BG26" s="191">
        <v>0.82592022468875748</v>
      </c>
      <c r="BH26" s="189">
        <v>35067</v>
      </c>
      <c r="BI26" s="191">
        <v>0.94701450214696592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20675</v>
      </c>
      <c r="F27" s="31">
        <v>20806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22</v>
      </c>
      <c r="Y27" s="31"/>
      <c r="Z27" s="200">
        <v>1.0573872921272711E-3</v>
      </c>
      <c r="AA27" s="89"/>
      <c r="AB27" s="90"/>
      <c r="AC27" s="96">
        <v>108</v>
      </c>
      <c r="AD27" s="92"/>
      <c r="AE27" s="111">
        <v>5.2240000000000003E-3</v>
      </c>
      <c r="AF27" s="94"/>
      <c r="AG27" s="95"/>
      <c r="AH27" s="96">
        <v>16</v>
      </c>
      <c r="AI27" s="96"/>
      <c r="AJ27" s="111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1900</v>
      </c>
      <c r="AU27" s="202"/>
      <c r="AV27" s="31"/>
      <c r="AW27" s="49"/>
      <c r="AX27" s="201">
        <v>10183</v>
      </c>
      <c r="AY27" s="201">
        <v>9883</v>
      </c>
      <c r="AZ27" s="100">
        <v>0.97053913385053525</v>
      </c>
      <c r="BA27" s="201">
        <v>9011</v>
      </c>
      <c r="BB27" s="194">
        <v>0.88490621624275756</v>
      </c>
      <c r="BC27" s="203"/>
      <c r="BD27" s="204"/>
      <c r="BE27" s="201">
        <v>6190</v>
      </c>
      <c r="BF27" s="201">
        <v>5909</v>
      </c>
      <c r="BG27" s="194">
        <v>0.95460420032310178</v>
      </c>
      <c r="BH27" s="201">
        <v>5264</v>
      </c>
      <c r="BI27" s="194">
        <v>0.85040387722132471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232956</v>
      </c>
      <c r="F28" s="3">
        <v>249889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4.2926561239032266E-6</v>
      </c>
      <c r="Q28" s="77"/>
      <c r="R28" s="76"/>
      <c r="S28" s="3">
        <v>140</v>
      </c>
      <c r="T28" s="3"/>
      <c r="U28" s="188">
        <v>6.009718573464517E-4</v>
      </c>
      <c r="V28" s="77"/>
      <c r="W28" s="76"/>
      <c r="X28" s="3">
        <v>118</v>
      </c>
      <c r="Y28" s="3"/>
      <c r="Z28" s="188">
        <v>4.7220966108952375E-4</v>
      </c>
      <c r="AA28" s="77"/>
      <c r="AB28" s="101"/>
      <c r="AC28" s="106">
        <v>8997</v>
      </c>
      <c r="AD28" s="103"/>
      <c r="AE28" s="112">
        <v>3.8621000000000003E-2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217</v>
      </c>
      <c r="AO28" s="85"/>
      <c r="AP28" s="86">
        <v>0.72333333333333338</v>
      </c>
      <c r="AQ28" s="77"/>
      <c r="AR28" s="3"/>
      <c r="AS28" s="76"/>
      <c r="AT28" s="189">
        <v>2450</v>
      </c>
      <c r="AU28" s="190"/>
      <c r="AV28" s="3"/>
      <c r="AW28" s="76"/>
      <c r="AX28" s="189">
        <v>93227</v>
      </c>
      <c r="AY28" s="189">
        <v>83472</v>
      </c>
      <c r="AZ28" s="87">
        <v>0.89536293133963341</v>
      </c>
      <c r="BA28" s="189">
        <v>80346</v>
      </c>
      <c r="BB28" s="191">
        <v>0.86183187274072959</v>
      </c>
      <c r="BC28" s="192"/>
      <c r="BD28" s="193"/>
      <c r="BE28" s="189">
        <v>51919</v>
      </c>
      <c r="BF28" s="189">
        <v>48291</v>
      </c>
      <c r="BG28" s="191">
        <v>0.93012192068414257</v>
      </c>
      <c r="BH28" s="189">
        <v>48840</v>
      </c>
      <c r="BI28" s="191">
        <v>0.94069608428513651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177516</v>
      </c>
      <c r="F29" s="31">
        <v>184359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171</v>
      </c>
      <c r="T29" s="31"/>
      <c r="U29" s="200">
        <v>9.6329344960454266E-4</v>
      </c>
      <c r="V29" s="108"/>
      <c r="W29" s="49"/>
      <c r="X29" s="31">
        <v>1358</v>
      </c>
      <c r="Y29" s="31"/>
      <c r="Z29" s="200">
        <v>7.3660629532596731E-3</v>
      </c>
      <c r="AA29" s="108"/>
      <c r="AB29" s="90"/>
      <c r="AC29" s="96">
        <v>10698</v>
      </c>
      <c r="AD29" s="92"/>
      <c r="AE29" s="111">
        <v>6.0264999999999999E-2</v>
      </c>
      <c r="AF29" s="109"/>
      <c r="AG29" s="95"/>
      <c r="AH29" s="96">
        <v>683</v>
      </c>
      <c r="AI29" s="96"/>
      <c r="AJ29" s="111">
        <v>3.8479999999999999E-3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46163</v>
      </c>
      <c r="AU29" s="202"/>
      <c r="AV29" s="31"/>
      <c r="AW29" s="49"/>
      <c r="AX29" s="201">
        <v>55777</v>
      </c>
      <c r="AY29" s="201">
        <v>52410</v>
      </c>
      <c r="AZ29" s="100">
        <v>0.93963461641895407</v>
      </c>
      <c r="BA29" s="201">
        <v>32906</v>
      </c>
      <c r="BB29" s="194">
        <v>0.58995643365544936</v>
      </c>
      <c r="BC29" s="203"/>
      <c r="BD29" s="204"/>
      <c r="BE29" s="201">
        <v>28754</v>
      </c>
      <c r="BF29" s="201">
        <v>26584</v>
      </c>
      <c r="BG29" s="194">
        <v>0.92453223899283576</v>
      </c>
      <c r="BH29" s="201">
        <v>17842</v>
      </c>
      <c r="BI29" s="194">
        <v>0.62050497322111708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27069</v>
      </c>
      <c r="F30" s="3">
        <v>29128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0</v>
      </c>
      <c r="T30" s="3"/>
      <c r="U30" s="188">
        <v>0</v>
      </c>
      <c r="V30" s="77"/>
      <c r="W30" s="76"/>
      <c r="X30" s="3">
        <v>31</v>
      </c>
      <c r="Y30" s="3"/>
      <c r="Z30" s="188">
        <v>1.0642680582257623E-3</v>
      </c>
      <c r="AA30" s="77"/>
      <c r="AB30" s="101"/>
      <c r="AC30" s="106">
        <v>220</v>
      </c>
      <c r="AD30" s="103"/>
      <c r="AE30" s="112">
        <v>8.1270000000000005E-3</v>
      </c>
      <c r="AF30" s="104"/>
      <c r="AG30" s="105"/>
      <c r="AH30" s="106">
        <v>30</v>
      </c>
      <c r="AI30" s="106"/>
      <c r="AJ30" s="112">
        <v>1.108E-3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385</v>
      </c>
      <c r="AU30" s="190"/>
      <c r="AV30" s="3"/>
      <c r="AW30" s="76"/>
      <c r="AX30" s="189">
        <v>9822</v>
      </c>
      <c r="AY30" s="189">
        <v>9070</v>
      </c>
      <c r="AZ30" s="87">
        <v>0.9234371818366931</v>
      </c>
      <c r="BA30" s="189">
        <v>8677</v>
      </c>
      <c r="BB30" s="191">
        <v>0.88342496436570961</v>
      </c>
      <c r="BC30" s="192"/>
      <c r="BD30" s="193"/>
      <c r="BE30" s="189">
        <v>5938</v>
      </c>
      <c r="BF30" s="189">
        <v>5380</v>
      </c>
      <c r="BG30" s="191">
        <v>0.90602896598181204</v>
      </c>
      <c r="BH30" s="189">
        <v>5427</v>
      </c>
      <c r="BI30" s="191">
        <v>0.91394408891882783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0">
        <v>2.738720579294177E-6</v>
      </c>
      <c r="L31" s="89"/>
      <c r="M31" s="49"/>
      <c r="N31" s="31">
        <v>0</v>
      </c>
      <c r="O31" s="31"/>
      <c r="P31" s="200">
        <v>0</v>
      </c>
      <c r="Q31" s="89"/>
      <c r="R31" s="49"/>
      <c r="S31" s="31">
        <v>15</v>
      </c>
      <c r="T31" s="31"/>
      <c r="U31" s="200">
        <v>4.1080808689412655E-5</v>
      </c>
      <c r="V31" s="89"/>
      <c r="W31" s="49"/>
      <c r="X31" s="31">
        <v>238</v>
      </c>
      <c r="Y31" s="31"/>
      <c r="Z31" s="200">
        <v>6.2627788318075483E-4</v>
      </c>
      <c r="AA31" s="89"/>
      <c r="AB31" s="90"/>
      <c r="AC31" s="96">
        <v>2206</v>
      </c>
      <c r="AD31" s="92"/>
      <c r="AE31" s="111">
        <v>6.0419999999999996E-3</v>
      </c>
      <c r="AF31" s="94"/>
      <c r="AG31" s="95"/>
      <c r="AH31" s="96">
        <v>1505</v>
      </c>
      <c r="AI31" s="96"/>
      <c r="AJ31" s="111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1155</v>
      </c>
      <c r="AU31" s="202"/>
      <c r="AV31" s="31"/>
      <c r="AW31" s="49"/>
      <c r="AX31" s="201">
        <v>112598</v>
      </c>
      <c r="AY31" s="201">
        <v>109388</v>
      </c>
      <c r="AZ31" s="100">
        <v>0.97149150073713564</v>
      </c>
      <c r="BA31" s="201">
        <v>87889</v>
      </c>
      <c r="BB31" s="194">
        <v>0.78055560489529119</v>
      </c>
      <c r="BC31" s="203"/>
      <c r="BD31" s="204"/>
      <c r="BE31" s="201">
        <v>57949</v>
      </c>
      <c r="BF31" s="201">
        <v>56577</v>
      </c>
      <c r="BG31" s="194">
        <v>0.97632400904243388</v>
      </c>
      <c r="BH31" s="201">
        <v>53490</v>
      </c>
      <c r="BI31" s="194">
        <v>0.92305302938791001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3075362</v>
      </c>
      <c r="F32" s="115">
        <v>3173727</v>
      </c>
      <c r="G32" s="116"/>
      <c r="H32" s="117"/>
      <c r="I32" s="115">
        <v>6</v>
      </c>
      <c r="J32" s="118"/>
      <c r="K32" s="119">
        <v>1.9509898346926313E-6</v>
      </c>
      <c r="L32" s="116"/>
      <c r="M32" s="117"/>
      <c r="N32" s="115">
        <v>5</v>
      </c>
      <c r="O32" s="118"/>
      <c r="P32" s="119">
        <v>1.6258248622438595E-6</v>
      </c>
      <c r="Q32" s="116"/>
      <c r="R32" s="117"/>
      <c r="S32" s="115">
        <v>545</v>
      </c>
      <c r="T32" s="118"/>
      <c r="U32" s="119">
        <v>1.7172239452227617E-4</v>
      </c>
      <c r="V32" s="116"/>
      <c r="W32" s="117"/>
      <c r="X32" s="115">
        <v>72219</v>
      </c>
      <c r="Y32" s="118"/>
      <c r="Z32" s="119">
        <v>2.2755265339457365E-2</v>
      </c>
      <c r="AA32" s="116"/>
      <c r="AB32" s="120"/>
      <c r="AC32" s="121">
        <v>39218</v>
      </c>
      <c r="AD32" s="122"/>
      <c r="AE32" s="123">
        <v>1.2752319889495935E-2</v>
      </c>
      <c r="AF32" s="124"/>
      <c r="AG32" s="120"/>
      <c r="AH32" s="121">
        <v>7596</v>
      </c>
      <c r="AI32" s="122"/>
      <c r="AJ32" s="123">
        <v>2.4699531307208712E-3</v>
      </c>
      <c r="AK32" s="124"/>
      <c r="AL32" s="125"/>
      <c r="AM32" s="117"/>
      <c r="AN32" s="126">
        <v>1746</v>
      </c>
      <c r="AO32" s="114"/>
      <c r="AP32" s="127">
        <v>0.81818181818181823</v>
      </c>
      <c r="AQ32" s="116"/>
      <c r="AR32" s="128"/>
      <c r="AS32" s="113"/>
      <c r="AT32" s="129">
        <v>141087</v>
      </c>
      <c r="AU32" s="130"/>
      <c r="AV32" s="128"/>
      <c r="AW32" s="113"/>
      <c r="AX32" s="129">
        <v>1166762</v>
      </c>
      <c r="AY32" s="129">
        <v>1060462</v>
      </c>
      <c r="AZ32" s="127">
        <v>0.90889315901614898</v>
      </c>
      <c r="BA32" s="129">
        <v>939717</v>
      </c>
      <c r="BB32" s="127">
        <v>0.80540590111779442</v>
      </c>
      <c r="BC32" s="131"/>
      <c r="BD32" s="132"/>
      <c r="BE32" s="129">
        <v>641453</v>
      </c>
      <c r="BF32" s="129">
        <v>596322</v>
      </c>
      <c r="BG32" s="127">
        <v>0.9296425459074944</v>
      </c>
      <c r="BH32" s="129">
        <v>558605</v>
      </c>
      <c r="BI32" s="127">
        <v>0.87084322623793164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{434BCAB5-6C7E-4581-BC86-F5E51054ACAD}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{CB622CC8-E873-4DF0-A410-1305896CC7A3}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4BCAB5-6C7E-4581-BC86-F5E51054AC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CB622CC8-E873-4DF0-A410-1305896CC7A3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3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3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2"/>
    <col min="42" max="43" width="1.5" style="223" customWidth="1"/>
    <col min="44" max="44" width="9.5" style="236" customWidth="1"/>
    <col min="45" max="45" width="1.5" style="223" customWidth="1"/>
    <col min="46" max="46" width="9.5" style="236" customWidth="1"/>
    <col min="47" max="50" width="1.5" style="223" customWidth="1"/>
    <col min="51" max="51" width="9.5" style="236" customWidth="1"/>
    <col min="52" max="52" width="1.5" style="223" customWidth="1"/>
    <col min="53" max="53" width="9.5" style="236" customWidth="1"/>
    <col min="54" max="55" width="1.5" style="223" customWidth="1"/>
    <col min="56" max="78" width="10.5" style="223"/>
    <col min="79" max="16384" width="10.5" style="29"/>
  </cols>
  <sheetData>
    <row r="1" spans="1:78" ht="19.5" thickBot="1" x14ac:dyDescent="0.35">
      <c r="B1" s="30" t="s">
        <v>3812</v>
      </c>
      <c r="E1" s="254" t="s">
        <v>165</v>
      </c>
      <c r="F1" s="254"/>
      <c r="G1" s="254"/>
      <c r="H1" s="254"/>
      <c r="J1" s="254" t="s">
        <v>166</v>
      </c>
      <c r="K1" s="254"/>
      <c r="L1" s="254"/>
      <c r="M1" s="254"/>
      <c r="N1" s="254"/>
      <c r="O1" s="254"/>
      <c r="P1" s="254"/>
      <c r="Q1" s="254"/>
      <c r="R1" s="254"/>
      <c r="S1" s="254"/>
      <c r="T1" s="139"/>
      <c r="U1" s="139"/>
      <c r="V1" s="255" t="s">
        <v>167</v>
      </c>
      <c r="W1" s="256"/>
      <c r="X1" s="256"/>
      <c r="Y1" s="256"/>
      <c r="Z1" s="256"/>
      <c r="AA1" s="256"/>
      <c r="AB1" s="256"/>
      <c r="AC1" s="256"/>
      <c r="AO1" s="29"/>
      <c r="AP1" s="257" t="s">
        <v>168</v>
      </c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</row>
    <row r="2" spans="1:78" ht="15.75" thickTop="1" x14ac:dyDescent="0.25">
      <c r="G2" s="140"/>
      <c r="H2" s="140"/>
      <c r="I2" s="141"/>
      <c r="AO2" s="29"/>
      <c r="AP2" s="258" t="s">
        <v>95</v>
      </c>
      <c r="AQ2" s="258"/>
      <c r="AR2" s="258"/>
      <c r="AS2" s="258"/>
      <c r="AT2" s="258"/>
      <c r="AU2" s="258"/>
      <c r="AV2" s="258"/>
      <c r="AW2" s="258" t="s">
        <v>96</v>
      </c>
      <c r="AX2" s="258"/>
      <c r="AY2" s="258"/>
      <c r="AZ2" s="258"/>
      <c r="BA2" s="258"/>
      <c r="BB2" s="258"/>
      <c r="BC2" s="258"/>
    </row>
    <row r="3" spans="1:78" ht="7.5" customHeight="1" x14ac:dyDescent="0.25">
      <c r="A3" s="224"/>
      <c r="B3" s="37"/>
      <c r="C3" s="37"/>
      <c r="D3" s="37"/>
      <c r="E3" s="37"/>
      <c r="F3" s="37"/>
      <c r="G3" s="37"/>
      <c r="H3" s="37"/>
      <c r="I3" s="142"/>
      <c r="J3" s="238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7"/>
      <c r="AQ3" s="227"/>
      <c r="AR3" s="233"/>
      <c r="AS3" s="227"/>
      <c r="AT3" s="233"/>
      <c r="AU3" s="227"/>
      <c r="AV3" s="227"/>
      <c r="AW3" s="227"/>
      <c r="AX3" s="227"/>
      <c r="AY3" s="233"/>
      <c r="AZ3" s="227"/>
      <c r="BA3" s="233"/>
      <c r="BB3" s="227"/>
      <c r="BC3" s="227"/>
    </row>
    <row r="4" spans="1:78" ht="33.75" customHeight="1" x14ac:dyDescent="0.25">
      <c r="A4" s="225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9"/>
      <c r="K4" s="145"/>
      <c r="L4" s="251" t="s">
        <v>99</v>
      </c>
      <c r="M4" s="251"/>
      <c r="N4" s="251"/>
      <c r="O4" s="52"/>
      <c r="P4" s="51"/>
      <c r="Q4" s="251" t="s">
        <v>100</v>
      </c>
      <c r="R4" s="251"/>
      <c r="S4" s="251"/>
      <c r="T4" s="52"/>
      <c r="U4" s="51"/>
      <c r="V4" s="251" t="s">
        <v>101</v>
      </c>
      <c r="W4" s="251"/>
      <c r="X4" s="251"/>
      <c r="Y4" s="52"/>
      <c r="Z4" s="51"/>
      <c r="AA4" s="251" t="s">
        <v>102</v>
      </c>
      <c r="AB4" s="251"/>
      <c r="AC4" s="251"/>
      <c r="AD4" s="52"/>
      <c r="AE4" s="53"/>
      <c r="AF4" s="251" t="s">
        <v>103</v>
      </c>
      <c r="AG4" s="251"/>
      <c r="AH4" s="251"/>
      <c r="AI4" s="57"/>
      <c r="AJ4" s="55"/>
      <c r="AK4" s="251" t="s">
        <v>104</v>
      </c>
      <c r="AL4" s="251"/>
      <c r="AM4" s="251"/>
      <c r="AN4" s="56"/>
      <c r="AO4" s="146" t="s">
        <v>175</v>
      </c>
      <c r="AP4" s="228" t="s">
        <v>176</v>
      </c>
      <c r="AQ4" s="228" t="s">
        <v>177</v>
      </c>
      <c r="AR4" s="234" t="s">
        <v>178</v>
      </c>
      <c r="AS4" s="229" t="s">
        <v>179</v>
      </c>
      <c r="AT4" s="237" t="s">
        <v>180</v>
      </c>
      <c r="AU4" s="229" t="s">
        <v>181</v>
      </c>
      <c r="AV4" s="229" t="s">
        <v>182</v>
      </c>
      <c r="AW4" s="228" t="s">
        <v>176</v>
      </c>
      <c r="AX4" s="228" t="s">
        <v>177</v>
      </c>
      <c r="AY4" s="234" t="s">
        <v>178</v>
      </c>
      <c r="AZ4" s="229" t="s">
        <v>179</v>
      </c>
      <c r="BA4" s="237" t="s">
        <v>180</v>
      </c>
      <c r="BB4" s="229" t="s">
        <v>181</v>
      </c>
      <c r="BC4" s="229" t="s">
        <v>182</v>
      </c>
      <c r="BF4" s="223" t="s">
        <v>3811</v>
      </c>
    </row>
    <row r="5" spans="1:78" s="152" customFormat="1" ht="10.5" customHeight="1" x14ac:dyDescent="0.25">
      <c r="A5" s="225"/>
      <c r="B5" s="147"/>
      <c r="C5" s="147"/>
      <c r="D5" s="147"/>
      <c r="E5" s="147"/>
      <c r="F5" s="147"/>
      <c r="G5" s="148"/>
      <c r="H5" s="148"/>
      <c r="I5" s="138"/>
      <c r="J5" s="240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7"/>
      <c r="AQ5" s="227"/>
      <c r="AR5" s="233"/>
      <c r="AS5" s="227"/>
      <c r="AT5" s="233"/>
      <c r="AU5" s="227"/>
      <c r="AV5" s="227"/>
      <c r="AW5" s="227"/>
      <c r="AX5" s="227"/>
      <c r="AY5" s="233"/>
      <c r="AZ5" s="227"/>
      <c r="BA5" s="233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</row>
    <row r="6" spans="1:78" x14ac:dyDescent="0.25">
      <c r="A6" s="226">
        <v>1</v>
      </c>
      <c r="B6" s="211" t="s">
        <v>117</v>
      </c>
      <c r="C6" s="211">
        <v>301</v>
      </c>
      <c r="D6" s="211" t="s">
        <v>183</v>
      </c>
      <c r="E6" s="211">
        <v>1600</v>
      </c>
      <c r="F6" s="211">
        <v>1618</v>
      </c>
      <c r="G6" s="211"/>
      <c r="H6" s="220" t="str">
        <f>HYPERLINK("https://map.geo.admin.ch/?zoom=7&amp;E=587800&amp;N=210500&amp;layers=ch.kantone.cadastralwebmap-farbe,ch.swisstopo.amtliches-strassenverzeichnis,ch.bfs.gebaeude_wohnungs_register,KML||https://tinyurl.com/yy7ya4g9/BE/0301_bdg_erw.kml","KML building")</f>
        <v>KML building</v>
      </c>
      <c r="I6" s="154">
        <v>0</v>
      </c>
      <c r="J6" s="241" t="s">
        <v>967</v>
      </c>
      <c r="K6" s="63">
        <v>0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0</v>
      </c>
      <c r="W6" s="64"/>
      <c r="X6" s="200">
        <v>0</v>
      </c>
      <c r="Y6" s="155"/>
      <c r="Z6" s="63"/>
      <c r="AA6" s="64">
        <v>1</v>
      </c>
      <c r="AB6" s="64"/>
      <c r="AC6" s="200">
        <v>5.9999999999999995E-4</v>
      </c>
      <c r="AD6" s="155"/>
      <c r="AE6" s="153"/>
      <c r="AF6" s="140">
        <v>4</v>
      </c>
      <c r="AG6" s="140"/>
      <c r="AH6" s="200">
        <v>2.5000000000000001E-3</v>
      </c>
      <c r="AI6" s="140"/>
      <c r="AJ6" s="153"/>
      <c r="AK6" s="140">
        <v>0</v>
      </c>
      <c r="AL6" s="140"/>
      <c r="AM6" s="200">
        <v>0</v>
      </c>
      <c r="AN6" s="156"/>
      <c r="AO6" s="221">
        <v>3.0999999999999999E-3</v>
      </c>
      <c r="AP6" s="223">
        <v>648</v>
      </c>
      <c r="AQ6" s="223">
        <v>517</v>
      </c>
      <c r="AR6" s="235">
        <v>0.79800000000000004</v>
      </c>
      <c r="AS6" s="223">
        <v>466</v>
      </c>
      <c r="AT6" s="235">
        <v>0.71899999999999997</v>
      </c>
      <c r="AU6" s="223">
        <v>461</v>
      </c>
      <c r="AV6" s="232">
        <v>0.71099999999999997</v>
      </c>
      <c r="AW6" s="223">
        <v>351</v>
      </c>
      <c r="AX6" s="223">
        <v>319</v>
      </c>
      <c r="AY6" s="235">
        <v>0.90900000000000003</v>
      </c>
      <c r="AZ6" s="223">
        <v>285</v>
      </c>
      <c r="BA6" s="235">
        <v>0.81200000000000006</v>
      </c>
      <c r="BB6" s="223">
        <v>283</v>
      </c>
      <c r="BC6" s="232">
        <v>0.80600000000000005</v>
      </c>
    </row>
    <row r="7" spans="1:78" x14ac:dyDescent="0.25">
      <c r="A7" s="226">
        <v>1</v>
      </c>
      <c r="B7" s="211" t="s">
        <v>117</v>
      </c>
      <c r="C7" s="211">
        <v>302</v>
      </c>
      <c r="D7" s="211" t="s">
        <v>184</v>
      </c>
      <c r="E7" s="211">
        <v>647</v>
      </c>
      <c r="F7" s="211">
        <v>649</v>
      </c>
      <c r="G7" s="211"/>
      <c r="H7" s="220" t="str">
        <f>HYPERLINK("https://map.geo.admin.ch/?zoom=7&amp;E=586600&amp;N=209700&amp;layers=ch.kantone.cadastralwebmap-farbe,ch.swisstopo.amtliches-strassenverzeichnis,ch.bfs.gebaeude_wohnungs_register,KML||https://tinyurl.com/yy7ya4g9/BE/0302_bdg_erw.kml","KML building")</f>
        <v>KML building</v>
      </c>
      <c r="I7" s="154">
        <v>0</v>
      </c>
      <c r="J7" s="242" t="s">
        <v>968</v>
      </c>
      <c r="K7" s="63">
        <v>0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0</v>
      </c>
      <c r="AB7" s="64"/>
      <c r="AC7" s="200">
        <v>0</v>
      </c>
      <c r="AD7" s="155"/>
      <c r="AE7" s="153"/>
      <c r="AF7" s="140">
        <v>5</v>
      </c>
      <c r="AG7" s="140"/>
      <c r="AH7" s="200">
        <v>7.7000000000000002E-3</v>
      </c>
      <c r="AI7" s="140"/>
      <c r="AJ7" s="153"/>
      <c r="AK7" s="140">
        <v>0</v>
      </c>
      <c r="AL7" s="140"/>
      <c r="AM7" s="200">
        <v>0</v>
      </c>
      <c r="AN7" s="156"/>
      <c r="AO7" s="221">
        <v>7.7000000000000002E-3</v>
      </c>
      <c r="AP7" s="223">
        <v>299</v>
      </c>
      <c r="AQ7" s="223">
        <v>251</v>
      </c>
      <c r="AR7" s="235">
        <v>0.83899999999999997</v>
      </c>
      <c r="AS7" s="223">
        <v>222</v>
      </c>
      <c r="AT7" s="235">
        <v>0.74199999999999999</v>
      </c>
      <c r="AU7" s="223">
        <v>212</v>
      </c>
      <c r="AV7" s="232">
        <v>0.70899999999999996</v>
      </c>
      <c r="AW7" s="223">
        <v>175</v>
      </c>
      <c r="AX7" s="223">
        <v>170</v>
      </c>
      <c r="AY7" s="235">
        <v>0.97099999999999997</v>
      </c>
      <c r="AZ7" s="223">
        <v>159</v>
      </c>
      <c r="BA7" s="235">
        <v>0.90900000000000003</v>
      </c>
      <c r="BB7" s="223">
        <v>157</v>
      </c>
      <c r="BC7" s="232">
        <v>0.89700000000000002</v>
      </c>
    </row>
    <row r="8" spans="1:78" x14ac:dyDescent="0.25">
      <c r="A8" s="226">
        <v>1</v>
      </c>
      <c r="B8" s="211" t="s">
        <v>117</v>
      </c>
      <c r="C8" s="211">
        <v>303</v>
      </c>
      <c r="D8" s="211" t="s">
        <v>185</v>
      </c>
      <c r="E8" s="211">
        <v>1847</v>
      </c>
      <c r="F8" s="211">
        <v>1848</v>
      </c>
      <c r="G8" s="211"/>
      <c r="H8" s="220" t="str">
        <f>HYPERLINK("https://map.geo.admin.ch/?zoom=7&amp;E=594100&amp;N=212800&amp;layers=ch.kantone.cadastralwebmap-farbe,ch.swisstopo.amtliches-strassenverzeichnis,ch.bfs.gebaeude_wohnungs_register,KML||https://tinyurl.com/yy7ya4g9/BE/0303_bdg_erw.kml","KML building")</f>
        <v>KML building</v>
      </c>
      <c r="I8" s="154">
        <v>1</v>
      </c>
      <c r="J8" s="242" t="s">
        <v>969</v>
      </c>
      <c r="K8" s="63">
        <v>5.4141851651326478E-4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1</v>
      </c>
      <c r="AB8" s="64"/>
      <c r="AC8" s="200">
        <v>5.0000000000000001E-4</v>
      </c>
      <c r="AD8" s="155"/>
      <c r="AE8" s="153"/>
      <c r="AF8" s="140">
        <v>0</v>
      </c>
      <c r="AG8" s="140"/>
      <c r="AH8" s="200">
        <v>0</v>
      </c>
      <c r="AI8" s="140"/>
      <c r="AJ8" s="153"/>
      <c r="AK8" s="140">
        <v>0</v>
      </c>
      <c r="AL8" s="140"/>
      <c r="AM8" s="200">
        <v>0</v>
      </c>
      <c r="AN8" s="156"/>
      <c r="AO8" s="221">
        <v>5.0000000000000001E-4</v>
      </c>
      <c r="AP8" s="223">
        <v>740</v>
      </c>
      <c r="AQ8" s="223">
        <v>625</v>
      </c>
      <c r="AR8" s="235">
        <v>0.84499999999999997</v>
      </c>
      <c r="AS8" s="223">
        <v>534</v>
      </c>
      <c r="AT8" s="235">
        <v>0.72199999999999998</v>
      </c>
      <c r="AU8" s="223">
        <v>529</v>
      </c>
      <c r="AV8" s="232">
        <v>0.71499999999999997</v>
      </c>
      <c r="AW8" s="223">
        <v>397</v>
      </c>
      <c r="AX8" s="223">
        <v>389</v>
      </c>
      <c r="AY8" s="235">
        <v>0.98</v>
      </c>
      <c r="AZ8" s="223">
        <v>346</v>
      </c>
      <c r="BA8" s="235">
        <v>0.872</v>
      </c>
      <c r="BB8" s="223">
        <v>343</v>
      </c>
      <c r="BC8" s="232">
        <v>0.86399999999999999</v>
      </c>
    </row>
    <row r="9" spans="1:78" x14ac:dyDescent="0.25">
      <c r="A9" s="226">
        <v>1</v>
      </c>
      <c r="B9" s="211" t="s">
        <v>117</v>
      </c>
      <c r="C9" s="211">
        <v>304</v>
      </c>
      <c r="D9" s="211" t="s">
        <v>186</v>
      </c>
      <c r="E9" s="211">
        <v>1429</v>
      </c>
      <c r="F9" s="211">
        <v>1433</v>
      </c>
      <c r="G9" s="211"/>
      <c r="H9" s="220" t="str">
        <f>HYPERLINK("https://map.geo.admin.ch/?zoom=7&amp;E=584600&amp;N=207700&amp;layers=ch.kantone.cadastralwebmap-farbe,ch.swisstopo.amtliches-strassenverzeichnis,ch.bfs.gebaeude_wohnungs_register,KML||https://tinyurl.com/yy7ya4g9/BE/0304_bdg_erw.kml","KML building")</f>
        <v>KML building</v>
      </c>
      <c r="I9" s="154">
        <v>0</v>
      </c>
      <c r="J9" s="242" t="s">
        <v>970</v>
      </c>
      <c r="K9" s="63">
        <v>0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0</v>
      </c>
      <c r="AG9" s="140"/>
      <c r="AH9" s="200">
        <v>0</v>
      </c>
      <c r="AI9" s="140"/>
      <c r="AJ9" s="153"/>
      <c r="AK9" s="140">
        <v>0</v>
      </c>
      <c r="AL9" s="140"/>
      <c r="AM9" s="200">
        <v>0</v>
      </c>
      <c r="AN9" s="156"/>
      <c r="AO9" s="221">
        <v>0</v>
      </c>
      <c r="AP9" s="223">
        <v>719</v>
      </c>
      <c r="AQ9" s="223">
        <v>572</v>
      </c>
      <c r="AR9" s="235">
        <v>0.79600000000000004</v>
      </c>
      <c r="AS9" s="223">
        <v>494</v>
      </c>
      <c r="AT9" s="235">
        <v>0.68700000000000006</v>
      </c>
      <c r="AU9" s="223">
        <v>470</v>
      </c>
      <c r="AV9" s="232">
        <v>0.65400000000000003</v>
      </c>
      <c r="AW9" s="223">
        <v>434</v>
      </c>
      <c r="AX9" s="223">
        <v>411</v>
      </c>
      <c r="AY9" s="235">
        <v>0.94699999999999995</v>
      </c>
      <c r="AZ9" s="223">
        <v>365</v>
      </c>
      <c r="BA9" s="235">
        <v>0.84099999999999997</v>
      </c>
      <c r="BB9" s="223">
        <v>358</v>
      </c>
      <c r="BC9" s="232">
        <v>0.82499999999999996</v>
      </c>
    </row>
    <row r="10" spans="1:78" x14ac:dyDescent="0.25">
      <c r="A10" s="226">
        <v>1</v>
      </c>
      <c r="B10" s="211" t="s">
        <v>117</v>
      </c>
      <c r="C10" s="211">
        <v>305</v>
      </c>
      <c r="D10" s="211" t="s">
        <v>187</v>
      </c>
      <c r="E10" s="211">
        <v>806</v>
      </c>
      <c r="F10" s="211">
        <v>809</v>
      </c>
      <c r="G10" s="211"/>
      <c r="H10" s="220" t="str">
        <f>HYPERLINK("https://map.geo.admin.ch/?zoom=7&amp;E=587000&amp;N=212100&amp;layers=ch.kantone.cadastralwebmap-farbe,ch.swisstopo.amtliches-strassenverzeichnis,ch.bfs.gebaeude_wohnungs_register,KML||https://tinyurl.com/yy7ya4g9/BE/0305_bdg_erw.kml","KML building")</f>
        <v>KML building</v>
      </c>
      <c r="I10" s="154">
        <v>0</v>
      </c>
      <c r="J10" s="241" t="s">
        <v>971</v>
      </c>
      <c r="K10" s="63">
        <v>0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2</v>
      </c>
      <c r="AB10" s="64"/>
      <c r="AC10" s="200">
        <v>2.5000000000000001E-3</v>
      </c>
      <c r="AD10" s="155"/>
      <c r="AE10" s="153"/>
      <c r="AF10" s="140">
        <v>3</v>
      </c>
      <c r="AG10" s="140"/>
      <c r="AH10" s="200">
        <v>3.7000000000000002E-3</v>
      </c>
      <c r="AI10" s="140"/>
      <c r="AJ10" s="153"/>
      <c r="AK10" s="140">
        <v>0</v>
      </c>
      <c r="AL10" s="140"/>
      <c r="AM10" s="200">
        <v>0</v>
      </c>
      <c r="AN10" s="156"/>
      <c r="AO10" s="221">
        <v>6.2000000000000006E-3</v>
      </c>
      <c r="AP10" s="223">
        <v>400</v>
      </c>
      <c r="AQ10" s="223">
        <v>325</v>
      </c>
      <c r="AR10" s="235">
        <v>0.81299999999999994</v>
      </c>
      <c r="AS10" s="223">
        <v>278</v>
      </c>
      <c r="AT10" s="235">
        <v>0.69499999999999995</v>
      </c>
      <c r="AU10" s="223">
        <v>273</v>
      </c>
      <c r="AV10" s="232">
        <v>0.68300000000000005</v>
      </c>
      <c r="AW10" s="223">
        <v>248</v>
      </c>
      <c r="AX10" s="223">
        <v>235</v>
      </c>
      <c r="AY10" s="235">
        <v>0.94799999999999995</v>
      </c>
      <c r="AZ10" s="223">
        <v>203</v>
      </c>
      <c r="BA10" s="235">
        <v>0.81899999999999995</v>
      </c>
      <c r="BB10" s="223">
        <v>201</v>
      </c>
      <c r="BC10" s="232">
        <v>0.81</v>
      </c>
    </row>
    <row r="11" spans="1:78" x14ac:dyDescent="0.25">
      <c r="A11" s="226">
        <v>1</v>
      </c>
      <c r="B11" s="211" t="s">
        <v>117</v>
      </c>
      <c r="C11" s="211">
        <v>306</v>
      </c>
      <c r="D11" s="211" t="s">
        <v>188</v>
      </c>
      <c r="E11" s="211">
        <v>4362</v>
      </c>
      <c r="F11" s="211">
        <v>4414</v>
      </c>
      <c r="G11" s="211"/>
      <c r="H11" s="220" t="str">
        <f>HYPERLINK("https://map.geo.admin.ch/?zoom=7&amp;E=590000&amp;N=213700&amp;layers=ch.kantone.cadastralwebmap-farbe,ch.swisstopo.amtliches-strassenverzeichnis,ch.bfs.gebaeude_wohnungs_register,KML||https://tinyurl.com/yy7ya4g9/BE/0306_bdg_erw.kml","KML building")</f>
        <v>KML building</v>
      </c>
      <c r="I11" s="154">
        <v>0</v>
      </c>
      <c r="J11" s="241" t="s">
        <v>972</v>
      </c>
      <c r="K11" s="63">
        <v>0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11</v>
      </c>
      <c r="AB11" s="64"/>
      <c r="AC11" s="200">
        <v>2.5000000000000001E-3</v>
      </c>
      <c r="AD11" s="155"/>
      <c r="AE11" s="153"/>
      <c r="AF11" s="140">
        <v>19</v>
      </c>
      <c r="AG11" s="140"/>
      <c r="AH11" s="200">
        <v>4.4000000000000003E-3</v>
      </c>
      <c r="AI11" s="140"/>
      <c r="AJ11" s="153"/>
      <c r="AK11" s="140">
        <v>3</v>
      </c>
      <c r="AL11" s="140"/>
      <c r="AM11" s="200">
        <v>6.9999999999999999E-4</v>
      </c>
      <c r="AN11" s="156"/>
      <c r="AO11" s="221">
        <v>7.6E-3</v>
      </c>
      <c r="AP11" s="223">
        <v>1359</v>
      </c>
      <c r="AQ11" s="223">
        <v>1163</v>
      </c>
      <c r="AR11" s="235">
        <v>0.85599999999999998</v>
      </c>
      <c r="AS11" s="223">
        <v>1057</v>
      </c>
      <c r="AT11" s="235">
        <v>0.77800000000000002</v>
      </c>
      <c r="AU11" s="223">
        <v>1003</v>
      </c>
      <c r="AV11" s="232">
        <v>0.73799999999999999</v>
      </c>
      <c r="AW11" s="223">
        <v>804</v>
      </c>
      <c r="AX11" s="223">
        <v>783</v>
      </c>
      <c r="AY11" s="235">
        <v>0.97399999999999998</v>
      </c>
      <c r="AZ11" s="223">
        <v>705</v>
      </c>
      <c r="BA11" s="235">
        <v>0.877</v>
      </c>
      <c r="BB11" s="223">
        <v>691</v>
      </c>
      <c r="BC11" s="232">
        <v>0.85899999999999999</v>
      </c>
    </row>
    <row r="12" spans="1:78" x14ac:dyDescent="0.25">
      <c r="A12" s="226">
        <v>1</v>
      </c>
      <c r="B12" s="211" t="s">
        <v>117</v>
      </c>
      <c r="C12" s="211">
        <v>307</v>
      </c>
      <c r="D12" s="211" t="s">
        <v>189</v>
      </c>
      <c r="E12" s="211">
        <v>1219</v>
      </c>
      <c r="F12" s="211">
        <v>1233</v>
      </c>
      <c r="G12" s="211"/>
      <c r="H12" s="220" t="str">
        <f>HYPERLINK("https://map.geo.admin.ch/?zoom=7&amp;E=594300&amp;N=206500&amp;layers=ch.kantone.cadastralwebmap-farbe,ch.swisstopo.amtliches-strassenverzeichnis,ch.bfs.gebaeude_wohnungs_register,KML||https://tinyurl.com/yy7ya4g9/BE/0307_bdg_erw.kml","KML building")</f>
        <v>KML building</v>
      </c>
      <c r="I12" s="154">
        <v>0</v>
      </c>
      <c r="J12" s="242" t="s">
        <v>973</v>
      </c>
      <c r="K12" s="63">
        <v>0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0</v>
      </c>
      <c r="AB12" s="64"/>
      <c r="AC12" s="200">
        <v>0</v>
      </c>
      <c r="AD12" s="155"/>
      <c r="AE12" s="153"/>
      <c r="AF12" s="140">
        <v>2</v>
      </c>
      <c r="AG12" s="140"/>
      <c r="AH12" s="200">
        <v>1.6000000000000001E-3</v>
      </c>
      <c r="AI12" s="140"/>
      <c r="AJ12" s="153"/>
      <c r="AK12" s="140">
        <v>0</v>
      </c>
      <c r="AL12" s="140"/>
      <c r="AM12" s="200">
        <v>0</v>
      </c>
      <c r="AN12" s="156"/>
      <c r="AO12" s="221">
        <v>1.6000000000000001E-3</v>
      </c>
      <c r="AP12" s="223">
        <v>384</v>
      </c>
      <c r="AQ12" s="223">
        <v>316</v>
      </c>
      <c r="AR12" s="235">
        <v>0.82299999999999995</v>
      </c>
      <c r="AS12" s="223">
        <v>288</v>
      </c>
      <c r="AT12" s="235">
        <v>0.75</v>
      </c>
      <c r="AU12" s="223">
        <v>271</v>
      </c>
      <c r="AV12" s="232">
        <v>0.70599999999999996</v>
      </c>
      <c r="AW12" s="223">
        <v>217</v>
      </c>
      <c r="AX12" s="223">
        <v>205</v>
      </c>
      <c r="AY12" s="235">
        <v>0.94499999999999995</v>
      </c>
      <c r="AZ12" s="223">
        <v>192</v>
      </c>
      <c r="BA12" s="235">
        <v>0.88500000000000001</v>
      </c>
      <c r="BB12" s="223">
        <v>187</v>
      </c>
      <c r="BC12" s="232">
        <v>0.86199999999999999</v>
      </c>
    </row>
    <row r="13" spans="1:78" x14ac:dyDescent="0.25">
      <c r="A13" s="226">
        <v>1</v>
      </c>
      <c r="B13" s="211" t="s">
        <v>117</v>
      </c>
      <c r="C13" s="211">
        <v>309</v>
      </c>
      <c r="D13" s="211" t="s">
        <v>190</v>
      </c>
      <c r="E13" s="211">
        <v>823</v>
      </c>
      <c r="F13" s="211">
        <v>823</v>
      </c>
      <c r="G13" s="211"/>
      <c r="H13" s="220" t="str">
        <f>HYPERLINK("https://map.geo.admin.ch/?zoom=7&amp;E=587400&amp;N=207800&amp;layers=ch.kantone.cadastralwebmap-farbe,ch.swisstopo.amtliches-strassenverzeichnis,ch.bfs.gebaeude_wohnungs_register,KML||https://tinyurl.com/yy7ya4g9/BE/0309_bdg_erw.kml","KML building")</f>
        <v>KML building</v>
      </c>
      <c r="I13" s="154">
        <v>0</v>
      </c>
      <c r="J13" s="241" t="s">
        <v>974</v>
      </c>
      <c r="K13" s="63">
        <v>0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0</v>
      </c>
      <c r="AB13" s="64"/>
      <c r="AC13" s="200">
        <v>0</v>
      </c>
      <c r="AD13" s="155"/>
      <c r="AE13" s="153"/>
      <c r="AF13" s="140">
        <v>1</v>
      </c>
      <c r="AG13" s="140"/>
      <c r="AH13" s="200">
        <v>1.1999999999999999E-3</v>
      </c>
      <c r="AI13" s="140"/>
      <c r="AJ13" s="153"/>
      <c r="AK13" s="140">
        <v>0</v>
      </c>
      <c r="AL13" s="140"/>
      <c r="AM13" s="200">
        <v>0</v>
      </c>
      <c r="AN13" s="156"/>
      <c r="AO13" s="221">
        <v>1.1999999999999999E-3</v>
      </c>
      <c r="AP13" s="223">
        <v>410</v>
      </c>
      <c r="AQ13" s="223">
        <v>347</v>
      </c>
      <c r="AR13" s="235">
        <v>0.84599999999999997</v>
      </c>
      <c r="AS13" s="223">
        <v>283</v>
      </c>
      <c r="AT13" s="235">
        <v>0.69</v>
      </c>
      <c r="AU13" s="223">
        <v>275</v>
      </c>
      <c r="AV13" s="232">
        <v>0.67100000000000004</v>
      </c>
      <c r="AW13" s="223">
        <v>245</v>
      </c>
      <c r="AX13" s="223">
        <v>240</v>
      </c>
      <c r="AY13" s="235">
        <v>0.98</v>
      </c>
      <c r="AZ13" s="223">
        <v>206</v>
      </c>
      <c r="BA13" s="235">
        <v>0.84099999999999997</v>
      </c>
      <c r="BB13" s="223">
        <v>204</v>
      </c>
      <c r="BC13" s="232">
        <v>0.83299999999999996</v>
      </c>
    </row>
    <row r="14" spans="1:78" x14ac:dyDescent="0.25">
      <c r="A14" s="226">
        <v>1</v>
      </c>
      <c r="B14" s="211" t="s">
        <v>117</v>
      </c>
      <c r="C14" s="211">
        <v>310</v>
      </c>
      <c r="D14" s="211" t="s">
        <v>191</v>
      </c>
      <c r="E14" s="211">
        <v>1769</v>
      </c>
      <c r="F14" s="211">
        <v>1779</v>
      </c>
      <c r="G14" s="211"/>
      <c r="H14" s="220" t="str">
        <f>HYPERLINK("https://map.geo.admin.ch/?zoom=7&amp;E=597900&amp;N=212500&amp;layers=ch.kantone.cadastralwebmap-farbe,ch.swisstopo.amtliches-strassenverzeichnis,ch.bfs.gebaeude_wohnungs_register,KML||https://tinyurl.com/yy7ya4g9/BE/0310_bdg_erw.kml","KML building")</f>
        <v>KML building</v>
      </c>
      <c r="I14" s="154">
        <v>0</v>
      </c>
      <c r="J14" s="242" t="s">
        <v>975</v>
      </c>
      <c r="K14" s="63">
        <v>0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3</v>
      </c>
      <c r="W14" s="64"/>
      <c r="X14" s="200">
        <v>1.6999999999999999E-3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7</v>
      </c>
      <c r="AG14" s="140"/>
      <c r="AH14" s="200">
        <v>4.0000000000000001E-3</v>
      </c>
      <c r="AI14" s="140"/>
      <c r="AJ14" s="153"/>
      <c r="AK14" s="140">
        <v>2</v>
      </c>
      <c r="AL14" s="140"/>
      <c r="AM14" s="200">
        <v>1.1000000000000001E-3</v>
      </c>
      <c r="AN14" s="156"/>
      <c r="AO14" s="221">
        <v>6.8000000000000005E-3</v>
      </c>
      <c r="AP14" s="223">
        <v>825</v>
      </c>
      <c r="AQ14" s="223">
        <v>693</v>
      </c>
      <c r="AR14" s="235">
        <v>0.84</v>
      </c>
      <c r="AS14" s="223">
        <v>618</v>
      </c>
      <c r="AT14" s="235">
        <v>0.749</v>
      </c>
      <c r="AU14" s="223">
        <v>606</v>
      </c>
      <c r="AV14" s="232">
        <v>0.73499999999999999</v>
      </c>
      <c r="AW14" s="223">
        <v>491</v>
      </c>
      <c r="AX14" s="223">
        <v>469</v>
      </c>
      <c r="AY14" s="235">
        <v>0.95499999999999996</v>
      </c>
      <c r="AZ14" s="223">
        <v>428</v>
      </c>
      <c r="BA14" s="235">
        <v>0.872</v>
      </c>
      <c r="BB14" s="223">
        <v>423</v>
      </c>
      <c r="BC14" s="232">
        <v>0.86199999999999999</v>
      </c>
    </row>
    <row r="15" spans="1:78" x14ac:dyDescent="0.25">
      <c r="A15" s="226">
        <v>1</v>
      </c>
      <c r="B15" s="211" t="s">
        <v>117</v>
      </c>
      <c r="C15" s="211">
        <v>311</v>
      </c>
      <c r="D15" s="211" t="s">
        <v>192</v>
      </c>
      <c r="E15" s="211">
        <v>1770</v>
      </c>
      <c r="F15" s="211">
        <v>1778</v>
      </c>
      <c r="G15" s="211"/>
      <c r="H15" s="220" t="str">
        <f>HYPERLINK("https://map.geo.admin.ch/?zoom=7&amp;E=595400&amp;N=209700&amp;layers=ch.kantone.cadastralwebmap-farbe,ch.swisstopo.amtliches-strassenverzeichnis,ch.bfs.gebaeude_wohnungs_register,KML||https://tinyurl.com/yy7ya4g9/BE/0311_bdg_erw.kml","KML building")</f>
        <v>KML building</v>
      </c>
      <c r="I15" s="154">
        <v>0</v>
      </c>
      <c r="J15" s="242" t="s">
        <v>976</v>
      </c>
      <c r="K15" s="63">
        <v>0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0</v>
      </c>
      <c r="AB15" s="64"/>
      <c r="AC15" s="200">
        <v>0</v>
      </c>
      <c r="AD15" s="155"/>
      <c r="AE15" s="153"/>
      <c r="AF15" s="140">
        <v>1</v>
      </c>
      <c r="AG15" s="140"/>
      <c r="AH15" s="200">
        <v>5.9999999999999995E-4</v>
      </c>
      <c r="AI15" s="140"/>
      <c r="AJ15" s="153"/>
      <c r="AK15" s="140">
        <v>2</v>
      </c>
      <c r="AL15" s="140"/>
      <c r="AM15" s="200">
        <v>1.1000000000000001E-3</v>
      </c>
      <c r="AN15" s="156"/>
      <c r="AO15" s="221">
        <v>1.7000000000000001E-3</v>
      </c>
      <c r="AP15" s="223">
        <v>776</v>
      </c>
      <c r="AQ15" s="223">
        <v>617</v>
      </c>
      <c r="AR15" s="235">
        <v>0.79500000000000004</v>
      </c>
      <c r="AS15" s="223">
        <v>549</v>
      </c>
      <c r="AT15" s="235">
        <v>0.70699999999999996</v>
      </c>
      <c r="AU15" s="223">
        <v>535</v>
      </c>
      <c r="AV15" s="232">
        <v>0.68899999999999995</v>
      </c>
      <c r="AW15" s="223">
        <v>453</v>
      </c>
      <c r="AX15" s="223">
        <v>416</v>
      </c>
      <c r="AY15" s="235">
        <v>0.91800000000000004</v>
      </c>
      <c r="AZ15" s="223">
        <v>383</v>
      </c>
      <c r="BA15" s="235">
        <v>0.84499999999999997</v>
      </c>
      <c r="BB15" s="223">
        <v>379</v>
      </c>
      <c r="BC15" s="232">
        <v>0.83699999999999997</v>
      </c>
    </row>
    <row r="16" spans="1:78" x14ac:dyDescent="0.25">
      <c r="A16" s="226">
        <v>1</v>
      </c>
      <c r="B16" s="211" t="s">
        <v>117</v>
      </c>
      <c r="C16" s="211">
        <v>312</v>
      </c>
      <c r="D16" s="211" t="s">
        <v>193</v>
      </c>
      <c r="E16" s="211">
        <v>1846</v>
      </c>
      <c r="F16" s="211">
        <v>1857</v>
      </c>
      <c r="G16" s="211"/>
      <c r="H16" s="220" t="str">
        <f>HYPERLINK("https://map.geo.admin.ch/?zoom=7&amp;E=590400&amp;N=209400&amp;layers=ch.kantone.cadastralwebmap-farbe,ch.swisstopo.amtliches-strassenverzeichnis,ch.bfs.gebaeude_wohnungs_register,KML||https://tinyurl.com/yy7ya4g9/BE/0312_bdg_erw.kml","KML building")</f>
        <v>KML building</v>
      </c>
      <c r="I16" s="154">
        <v>0</v>
      </c>
      <c r="J16" s="242" t="s">
        <v>977</v>
      </c>
      <c r="K16" s="63">
        <v>0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1</v>
      </c>
      <c r="AG16" s="140"/>
      <c r="AH16" s="200">
        <v>5.0000000000000001E-4</v>
      </c>
      <c r="AI16" s="140"/>
      <c r="AJ16" s="153"/>
      <c r="AK16" s="140">
        <v>0</v>
      </c>
      <c r="AL16" s="140"/>
      <c r="AM16" s="200">
        <v>0</v>
      </c>
      <c r="AN16" s="156"/>
      <c r="AO16" s="221">
        <v>5.0000000000000001E-4</v>
      </c>
      <c r="AP16" s="223">
        <v>879</v>
      </c>
      <c r="AQ16" s="223">
        <v>728</v>
      </c>
      <c r="AR16" s="235">
        <v>0.82799999999999996</v>
      </c>
      <c r="AS16" s="223">
        <v>625</v>
      </c>
      <c r="AT16" s="235">
        <v>0.71099999999999997</v>
      </c>
      <c r="AU16" s="223">
        <v>617</v>
      </c>
      <c r="AV16" s="232">
        <v>0.70199999999999996</v>
      </c>
      <c r="AW16" s="223">
        <v>492</v>
      </c>
      <c r="AX16" s="223">
        <v>480</v>
      </c>
      <c r="AY16" s="235">
        <v>0.97599999999999998</v>
      </c>
      <c r="AZ16" s="223">
        <v>443</v>
      </c>
      <c r="BA16" s="235">
        <v>0.9</v>
      </c>
      <c r="BB16" s="223">
        <v>440</v>
      </c>
      <c r="BC16" s="232">
        <v>0.89400000000000002</v>
      </c>
    </row>
    <row r="17" spans="1:55" x14ac:dyDescent="0.25">
      <c r="A17" s="226">
        <v>1</v>
      </c>
      <c r="B17" s="211" t="s">
        <v>117</v>
      </c>
      <c r="C17" s="211">
        <v>321</v>
      </c>
      <c r="D17" s="211" t="s">
        <v>194</v>
      </c>
      <c r="E17" s="211">
        <v>2057</v>
      </c>
      <c r="F17" s="211">
        <v>2060</v>
      </c>
      <c r="G17" s="211"/>
      <c r="H17" s="220" t="str">
        <f>HYPERLINK("https://map.geo.admin.ch/?zoom=7&amp;E=625100&amp;N=232200&amp;layers=ch.kantone.cadastralwebmap-farbe,ch.swisstopo.amtliches-strassenverzeichnis,ch.bfs.gebaeude_wohnungs_register,KML||https://tinyurl.com/yy7ya4g9/BE/0321_bdg_erw.kml","KML building")</f>
        <v>KML building</v>
      </c>
      <c r="I17" s="154">
        <v>0</v>
      </c>
      <c r="J17" s="242" t="s">
        <v>978</v>
      </c>
      <c r="K17" s="63">
        <v>0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1</v>
      </c>
      <c r="AG17" s="140"/>
      <c r="AH17" s="200">
        <v>5.0000000000000001E-4</v>
      </c>
      <c r="AI17" s="140"/>
      <c r="AJ17" s="153"/>
      <c r="AK17" s="140">
        <v>0</v>
      </c>
      <c r="AL17" s="140"/>
      <c r="AM17" s="200">
        <v>0</v>
      </c>
      <c r="AN17" s="156"/>
      <c r="AO17" s="221">
        <v>5.0000000000000001E-4</v>
      </c>
      <c r="AP17" s="223">
        <v>735</v>
      </c>
      <c r="AQ17" s="223">
        <v>589</v>
      </c>
      <c r="AR17" s="235">
        <v>0.80100000000000005</v>
      </c>
      <c r="AS17" s="223">
        <v>587</v>
      </c>
      <c r="AT17" s="235">
        <v>0.79900000000000004</v>
      </c>
      <c r="AU17" s="223">
        <v>527</v>
      </c>
      <c r="AV17" s="232">
        <v>0.71699999999999997</v>
      </c>
      <c r="AW17" s="223">
        <v>426</v>
      </c>
      <c r="AX17" s="223">
        <v>394</v>
      </c>
      <c r="AY17" s="235">
        <v>0.92500000000000004</v>
      </c>
      <c r="AZ17" s="223">
        <v>365</v>
      </c>
      <c r="BA17" s="235">
        <v>0.85699999999999998</v>
      </c>
      <c r="BB17" s="223">
        <v>357</v>
      </c>
      <c r="BC17" s="232">
        <v>0.83799999999999997</v>
      </c>
    </row>
    <row r="18" spans="1:55" x14ac:dyDescent="0.25">
      <c r="A18" s="226">
        <v>1</v>
      </c>
      <c r="B18" s="211" t="s">
        <v>117</v>
      </c>
      <c r="C18" s="211">
        <v>322</v>
      </c>
      <c r="D18" s="211" t="s">
        <v>195</v>
      </c>
      <c r="E18" s="211">
        <v>314</v>
      </c>
      <c r="F18" s="211">
        <v>314</v>
      </c>
      <c r="G18" s="211"/>
      <c r="H18" s="220" t="str">
        <f>HYPERLINK("https://map.geo.admin.ch/?zoom=7&amp;E=630100&amp;N=220500&amp;layers=ch.kantone.cadastralwebmap-farbe,ch.swisstopo.amtliches-strassenverzeichnis,ch.bfs.gebaeude_wohnungs_register,KML||https://tinyurl.com/yy7ya4g9/BE/0322_bdg_erw.kml","KML building")</f>
        <v>KML building</v>
      </c>
      <c r="I18" s="154">
        <v>0</v>
      </c>
      <c r="J18" s="242" t="s">
        <v>979</v>
      </c>
      <c r="K18" s="63">
        <v>0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0</v>
      </c>
      <c r="W18" s="64"/>
      <c r="X18" s="200">
        <v>0</v>
      </c>
      <c r="Y18" s="155"/>
      <c r="Z18" s="63"/>
      <c r="AA18" s="64">
        <v>0</v>
      </c>
      <c r="AB18" s="64"/>
      <c r="AC18" s="200">
        <v>0</v>
      </c>
      <c r="AD18" s="155"/>
      <c r="AE18" s="153"/>
      <c r="AF18" s="140">
        <v>1</v>
      </c>
      <c r="AG18" s="140"/>
      <c r="AH18" s="200">
        <v>3.2000000000000002E-3</v>
      </c>
      <c r="AI18" s="140"/>
      <c r="AJ18" s="153"/>
      <c r="AK18" s="140">
        <v>0</v>
      </c>
      <c r="AL18" s="140"/>
      <c r="AM18" s="200">
        <v>0</v>
      </c>
      <c r="AN18" s="156"/>
      <c r="AO18" s="221">
        <v>3.2000000000000002E-3</v>
      </c>
      <c r="AP18" s="223">
        <v>147</v>
      </c>
      <c r="AQ18" s="223">
        <v>123</v>
      </c>
      <c r="AR18" s="235">
        <v>0.83699999999999997</v>
      </c>
      <c r="AS18" s="223">
        <v>117</v>
      </c>
      <c r="AT18" s="235">
        <v>0.79600000000000004</v>
      </c>
      <c r="AU18" s="223">
        <v>117</v>
      </c>
      <c r="AV18" s="232">
        <v>0.79600000000000004</v>
      </c>
      <c r="AW18" s="223">
        <v>97</v>
      </c>
      <c r="AX18" s="223">
        <v>90</v>
      </c>
      <c r="AY18" s="235">
        <v>0.92800000000000005</v>
      </c>
      <c r="AZ18" s="223">
        <v>88</v>
      </c>
      <c r="BA18" s="235">
        <v>0.90700000000000003</v>
      </c>
      <c r="BB18" s="223">
        <v>88</v>
      </c>
      <c r="BC18" s="232">
        <v>0.90700000000000003</v>
      </c>
    </row>
    <row r="19" spans="1:55" x14ac:dyDescent="0.25">
      <c r="A19" s="226">
        <v>1</v>
      </c>
      <c r="B19" s="211" t="s">
        <v>117</v>
      </c>
      <c r="C19" s="211">
        <v>323</v>
      </c>
      <c r="D19" s="211" t="s">
        <v>196</v>
      </c>
      <c r="E19" s="211">
        <v>475</v>
      </c>
      <c r="F19" s="211">
        <v>478</v>
      </c>
      <c r="G19" s="211"/>
      <c r="H19" s="220" t="str">
        <f>HYPERLINK("https://map.geo.admin.ch/?zoom=7&amp;E=622500&amp;N=231800&amp;layers=ch.kantone.cadastralwebmap-farbe,ch.swisstopo.amtliches-strassenverzeichnis,ch.bfs.gebaeude_wohnungs_register,KML||https://tinyurl.com/yy7ya4g9/BE/0323_bdg_erw.kml","KML building")</f>
        <v>KML building</v>
      </c>
      <c r="I19" s="154">
        <v>0</v>
      </c>
      <c r="J19" s="242" t="s">
        <v>980</v>
      </c>
      <c r="K19" s="63">
        <v>0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0</v>
      </c>
      <c r="W19" s="64"/>
      <c r="X19" s="200">
        <v>0</v>
      </c>
      <c r="Y19" s="155"/>
      <c r="Z19" s="63"/>
      <c r="AA19" s="64">
        <v>0</v>
      </c>
      <c r="AB19" s="64"/>
      <c r="AC19" s="200">
        <v>0</v>
      </c>
      <c r="AD19" s="155"/>
      <c r="AE19" s="153"/>
      <c r="AF19" s="140">
        <v>1</v>
      </c>
      <c r="AG19" s="140"/>
      <c r="AH19" s="200">
        <v>2.0999999999999999E-3</v>
      </c>
      <c r="AI19" s="140"/>
      <c r="AJ19" s="153"/>
      <c r="AK19" s="140">
        <v>0</v>
      </c>
      <c r="AL19" s="140"/>
      <c r="AM19" s="200">
        <v>0</v>
      </c>
      <c r="AN19" s="156"/>
      <c r="AO19" s="221">
        <v>2.0999999999999999E-3</v>
      </c>
      <c r="AP19" s="223">
        <v>207</v>
      </c>
      <c r="AQ19" s="223">
        <v>180</v>
      </c>
      <c r="AR19" s="235">
        <v>0.87</v>
      </c>
      <c r="AS19" s="223">
        <v>163</v>
      </c>
      <c r="AT19" s="235">
        <v>0.78700000000000003</v>
      </c>
      <c r="AU19" s="223">
        <v>159</v>
      </c>
      <c r="AV19" s="232">
        <v>0.76800000000000002</v>
      </c>
      <c r="AW19" s="223">
        <v>108</v>
      </c>
      <c r="AX19" s="223">
        <v>98</v>
      </c>
      <c r="AY19" s="235">
        <v>0.90700000000000003</v>
      </c>
      <c r="AZ19" s="223">
        <v>95</v>
      </c>
      <c r="BA19" s="235">
        <v>0.88</v>
      </c>
      <c r="BB19" s="223">
        <v>92</v>
      </c>
      <c r="BC19" s="232">
        <v>0.85199999999999998</v>
      </c>
    </row>
    <row r="20" spans="1:55" x14ac:dyDescent="0.25">
      <c r="A20" s="226">
        <v>1</v>
      </c>
      <c r="B20" s="211" t="s">
        <v>117</v>
      </c>
      <c r="C20" s="211">
        <v>324</v>
      </c>
      <c r="D20" s="211" t="s">
        <v>197</v>
      </c>
      <c r="E20" s="211">
        <v>458</v>
      </c>
      <c r="F20" s="211">
        <v>462</v>
      </c>
      <c r="G20" s="211"/>
      <c r="H20" s="220" t="str">
        <f>HYPERLINK("https://map.geo.admin.ch/?zoom=7&amp;E=624100&amp;N=226000&amp;layers=ch.kantone.cadastralwebmap-farbe,ch.swisstopo.amtliches-strassenverzeichnis,ch.bfs.gebaeude_wohnungs_register,KML||https://tinyurl.com/yy7ya4g9/BE/0324_bdg_erw.kml","KML building")</f>
        <v>KML building</v>
      </c>
      <c r="I20" s="154">
        <v>0</v>
      </c>
      <c r="J20" s="242" t="s">
        <v>981</v>
      </c>
      <c r="K20" s="63">
        <v>0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1</v>
      </c>
      <c r="AG20" s="140"/>
      <c r="AH20" s="200">
        <v>2.2000000000000001E-3</v>
      </c>
      <c r="AI20" s="140"/>
      <c r="AJ20" s="153"/>
      <c r="AK20" s="140">
        <v>0</v>
      </c>
      <c r="AL20" s="140"/>
      <c r="AM20" s="200">
        <v>0</v>
      </c>
      <c r="AN20" s="156"/>
      <c r="AO20" s="221">
        <v>2.2000000000000001E-3</v>
      </c>
      <c r="AP20" s="223">
        <v>181</v>
      </c>
      <c r="AQ20" s="223">
        <v>147</v>
      </c>
      <c r="AR20" s="235">
        <v>0.81200000000000006</v>
      </c>
      <c r="AS20" s="223">
        <v>143</v>
      </c>
      <c r="AT20" s="235">
        <v>0.79</v>
      </c>
      <c r="AU20" s="223">
        <v>131</v>
      </c>
      <c r="AV20" s="232">
        <v>0.72399999999999998</v>
      </c>
      <c r="AW20" s="223">
        <v>125</v>
      </c>
      <c r="AX20" s="223">
        <v>109</v>
      </c>
      <c r="AY20" s="235">
        <v>0.872</v>
      </c>
      <c r="AZ20" s="223">
        <v>103</v>
      </c>
      <c r="BA20" s="235">
        <v>0.82399999999999995</v>
      </c>
      <c r="BB20" s="223">
        <v>97</v>
      </c>
      <c r="BC20" s="232">
        <v>0.77600000000000002</v>
      </c>
    </row>
    <row r="21" spans="1:55" x14ac:dyDescent="0.25">
      <c r="A21" s="226">
        <v>1</v>
      </c>
      <c r="B21" s="211" t="s">
        <v>117</v>
      </c>
      <c r="C21" s="211">
        <v>325</v>
      </c>
      <c r="D21" s="211" t="s">
        <v>198</v>
      </c>
      <c r="E21" s="211">
        <v>143</v>
      </c>
      <c r="F21" s="211">
        <v>143</v>
      </c>
      <c r="G21" s="211"/>
      <c r="H21" s="220" t="str">
        <f>HYPERLINK("https://map.geo.admin.ch/?zoom=7&amp;E=629500&amp;N=226100&amp;layers=ch.kantone.cadastralwebmap-farbe,ch.swisstopo.amtliches-strassenverzeichnis,ch.bfs.gebaeude_wohnungs_register,KML||https://tinyurl.com/yy7ya4g9/BE/0325_bdg_erw.kml","KML building")</f>
        <v>KML building</v>
      </c>
      <c r="I21" s="154">
        <v>0</v>
      </c>
      <c r="J21" s="242" t="s">
        <v>982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0</v>
      </c>
      <c r="AB21" s="64"/>
      <c r="AC21" s="200">
        <v>0</v>
      </c>
      <c r="AD21" s="155"/>
      <c r="AE21" s="153"/>
      <c r="AF21" s="140">
        <v>0</v>
      </c>
      <c r="AG21" s="140"/>
      <c r="AH21" s="200">
        <v>0</v>
      </c>
      <c r="AI21" s="140"/>
      <c r="AJ21" s="153"/>
      <c r="AK21" s="140">
        <v>0</v>
      </c>
      <c r="AL21" s="140"/>
      <c r="AM21" s="200">
        <v>0</v>
      </c>
      <c r="AN21" s="156"/>
      <c r="AO21" s="230">
        <v>0</v>
      </c>
      <c r="AP21" s="223">
        <v>49</v>
      </c>
      <c r="AQ21" s="223">
        <v>39</v>
      </c>
      <c r="AR21" s="235">
        <v>0.79600000000000004</v>
      </c>
      <c r="AS21" s="223">
        <v>39</v>
      </c>
      <c r="AT21" s="235">
        <v>0.79600000000000004</v>
      </c>
      <c r="AU21" s="223">
        <v>38</v>
      </c>
      <c r="AV21" s="232">
        <v>0.77600000000000002</v>
      </c>
      <c r="AW21" s="223">
        <v>30</v>
      </c>
      <c r="AX21" s="223">
        <v>29</v>
      </c>
      <c r="AY21" s="235">
        <v>0.96699999999999997</v>
      </c>
      <c r="AZ21" s="223">
        <v>29</v>
      </c>
      <c r="BA21" s="235">
        <v>0.96699999999999997</v>
      </c>
      <c r="BB21" s="223">
        <v>28</v>
      </c>
      <c r="BC21" s="232">
        <v>0.93300000000000005</v>
      </c>
    </row>
    <row r="22" spans="1:55" x14ac:dyDescent="0.25">
      <c r="A22" s="226">
        <v>1</v>
      </c>
      <c r="B22" s="211" t="s">
        <v>117</v>
      </c>
      <c r="C22" s="211">
        <v>326</v>
      </c>
      <c r="D22" s="211" t="s">
        <v>199</v>
      </c>
      <c r="E22" s="211">
        <v>597</v>
      </c>
      <c r="F22" s="211">
        <v>598</v>
      </c>
      <c r="G22" s="211"/>
      <c r="H22" s="220" t="str">
        <f>HYPERLINK("https://map.geo.admin.ch/?zoom=7&amp;E=632900&amp;N=221800&amp;layers=ch.kantone.cadastralwebmap-farbe,ch.swisstopo.amtliches-strassenverzeichnis,ch.bfs.gebaeude_wohnungs_register,KML||https://tinyurl.com/yy7ya4g9/BE/0326_bdg_erw.kml","KML building")</f>
        <v>KML building</v>
      </c>
      <c r="I22" s="154">
        <v>0</v>
      </c>
      <c r="J22" s="242" t="s">
        <v>983</v>
      </c>
      <c r="K22" s="63">
        <v>0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5</v>
      </c>
      <c r="AG22" s="140"/>
      <c r="AH22" s="200">
        <v>8.3999999999999995E-3</v>
      </c>
      <c r="AI22" s="140"/>
      <c r="AJ22" s="153"/>
      <c r="AK22" s="140">
        <v>0</v>
      </c>
      <c r="AL22" s="140"/>
      <c r="AM22" s="200">
        <v>0</v>
      </c>
      <c r="AN22" s="156"/>
      <c r="AO22" s="230">
        <v>8.3999999999999995E-3</v>
      </c>
      <c r="AP22" s="223">
        <v>324</v>
      </c>
      <c r="AQ22" s="223">
        <v>272</v>
      </c>
      <c r="AR22" s="235">
        <v>0.84</v>
      </c>
      <c r="AS22" s="223">
        <v>257</v>
      </c>
      <c r="AT22" s="235">
        <v>0.79300000000000004</v>
      </c>
      <c r="AU22" s="223">
        <v>254</v>
      </c>
      <c r="AV22" s="232">
        <v>0.78400000000000003</v>
      </c>
      <c r="AW22" s="223">
        <v>212</v>
      </c>
      <c r="AX22" s="223">
        <v>197</v>
      </c>
      <c r="AY22" s="235">
        <v>0.92900000000000005</v>
      </c>
      <c r="AZ22" s="223">
        <v>194</v>
      </c>
      <c r="BA22" s="235">
        <v>0.91500000000000004</v>
      </c>
      <c r="BB22" s="223">
        <v>192</v>
      </c>
      <c r="BC22" s="232">
        <v>0.90600000000000003</v>
      </c>
    </row>
    <row r="23" spans="1:55" x14ac:dyDescent="0.25">
      <c r="A23" s="226">
        <v>1</v>
      </c>
      <c r="B23" s="211" t="s">
        <v>117</v>
      </c>
      <c r="C23" s="211">
        <v>329</v>
      </c>
      <c r="D23" s="211" t="s">
        <v>200</v>
      </c>
      <c r="E23" s="211">
        <v>5661</v>
      </c>
      <c r="F23" s="211">
        <v>5687</v>
      </c>
      <c r="G23" s="211"/>
      <c r="H23" s="220" t="str">
        <f>HYPERLINK("https://map.geo.admin.ch/?zoom=7&amp;E=626400&amp;N=229100&amp;layers=ch.kantone.cadastralwebmap-farbe,ch.swisstopo.amtliches-strassenverzeichnis,ch.bfs.gebaeude_wohnungs_register,KML||https://tinyurl.com/yy7ya4g9/BE/0329_bdg_erw.kml","KML building")</f>
        <v>KML building</v>
      </c>
      <c r="I23" s="154">
        <v>4</v>
      </c>
      <c r="J23" s="242" t="s">
        <v>984</v>
      </c>
      <c r="K23" s="63">
        <v>7.0658894188305958E-4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0</v>
      </c>
      <c r="AB23" s="64"/>
      <c r="AC23" s="200">
        <v>0</v>
      </c>
      <c r="AD23" s="155"/>
      <c r="AE23" s="153"/>
      <c r="AF23" s="140">
        <v>4</v>
      </c>
      <c r="AG23" s="140"/>
      <c r="AH23" s="200">
        <v>6.9999999999999999E-4</v>
      </c>
      <c r="AI23" s="140"/>
      <c r="AJ23" s="153"/>
      <c r="AK23" s="140">
        <v>2</v>
      </c>
      <c r="AL23" s="140"/>
      <c r="AM23" s="200">
        <v>4.0000000000000002E-4</v>
      </c>
      <c r="AN23" s="156"/>
      <c r="AO23" s="230">
        <v>1.1000000000000001E-3</v>
      </c>
      <c r="AP23" s="223">
        <v>1777</v>
      </c>
      <c r="AQ23" s="223">
        <v>1671</v>
      </c>
      <c r="AR23" s="235">
        <v>0.94</v>
      </c>
      <c r="AS23" s="223">
        <v>1564</v>
      </c>
      <c r="AT23" s="235">
        <v>0.88</v>
      </c>
      <c r="AU23" s="223">
        <v>1524</v>
      </c>
      <c r="AV23" s="232">
        <v>0.85799999999999998</v>
      </c>
      <c r="AW23" s="223">
        <v>1011</v>
      </c>
      <c r="AX23" s="223">
        <v>984</v>
      </c>
      <c r="AY23" s="235">
        <v>0.97299999999999998</v>
      </c>
      <c r="AZ23" s="223">
        <v>969</v>
      </c>
      <c r="BA23" s="235">
        <v>0.95799999999999996</v>
      </c>
      <c r="BB23" s="223">
        <v>945</v>
      </c>
      <c r="BC23" s="232">
        <v>0.93500000000000005</v>
      </c>
    </row>
    <row r="24" spans="1:55" x14ac:dyDescent="0.25">
      <c r="A24" s="226">
        <v>1</v>
      </c>
      <c r="B24" s="211" t="s">
        <v>117</v>
      </c>
      <c r="C24" s="211">
        <v>331</v>
      </c>
      <c r="D24" s="211" t="s">
        <v>201</v>
      </c>
      <c r="E24" s="211">
        <v>1289</v>
      </c>
      <c r="F24" s="211">
        <v>1290</v>
      </c>
      <c r="G24" s="211"/>
      <c r="H24" s="220" t="str">
        <f>HYPERLINK("https://map.geo.admin.ch/?zoom=7&amp;E=626700&amp;N=226700&amp;layers=ch.kantone.cadastralwebmap-farbe,ch.swisstopo.amtliches-strassenverzeichnis,ch.bfs.gebaeude_wohnungs_register,KML||https://tinyurl.com/yy7ya4g9/BE/0331_bdg_erw.kml","KML building")</f>
        <v>KML building</v>
      </c>
      <c r="I24" s="154">
        <v>0</v>
      </c>
      <c r="J24" s="242" t="s">
        <v>985</v>
      </c>
      <c r="K24" s="63">
        <v>0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0</v>
      </c>
      <c r="AB24" s="64"/>
      <c r="AC24" s="200">
        <v>0</v>
      </c>
      <c r="AD24" s="155"/>
      <c r="AE24" s="153"/>
      <c r="AF24" s="140">
        <v>8</v>
      </c>
      <c r="AG24" s="140"/>
      <c r="AH24" s="200">
        <v>6.1999999999999998E-3</v>
      </c>
      <c r="AI24" s="140"/>
      <c r="AJ24" s="153"/>
      <c r="AK24" s="140">
        <v>0</v>
      </c>
      <c r="AL24" s="140"/>
      <c r="AM24" s="200">
        <v>0</v>
      </c>
      <c r="AN24" s="156"/>
      <c r="AO24" s="230">
        <v>6.1999999999999998E-3</v>
      </c>
      <c r="AP24" s="223">
        <v>500</v>
      </c>
      <c r="AQ24" s="223">
        <v>416</v>
      </c>
      <c r="AR24" s="235">
        <v>0.83199999999999996</v>
      </c>
      <c r="AS24" s="223">
        <v>399</v>
      </c>
      <c r="AT24" s="235">
        <v>0.79800000000000004</v>
      </c>
      <c r="AU24" s="223">
        <v>386</v>
      </c>
      <c r="AV24" s="232">
        <v>0.77200000000000002</v>
      </c>
      <c r="AW24" s="223">
        <v>252</v>
      </c>
      <c r="AX24" s="223">
        <v>232</v>
      </c>
      <c r="AY24" s="235">
        <v>0.92100000000000004</v>
      </c>
      <c r="AZ24" s="223">
        <v>222</v>
      </c>
      <c r="BA24" s="235">
        <v>0.88100000000000001</v>
      </c>
      <c r="BB24" s="223">
        <v>218</v>
      </c>
      <c r="BC24" s="232">
        <v>0.86499999999999999</v>
      </c>
    </row>
    <row r="25" spans="1:55" x14ac:dyDescent="0.25">
      <c r="A25" s="226">
        <v>1</v>
      </c>
      <c r="B25" s="211" t="s">
        <v>117</v>
      </c>
      <c r="C25" s="211">
        <v>332</v>
      </c>
      <c r="D25" s="211" t="s">
        <v>202</v>
      </c>
      <c r="E25" s="211">
        <v>2030</v>
      </c>
      <c r="F25" s="211">
        <v>2041</v>
      </c>
      <c r="G25" s="211"/>
      <c r="H25" s="220" t="str">
        <f>HYPERLINK("https://map.geo.admin.ch/?zoom=7&amp;E=627300&amp;N=223900&amp;layers=ch.kantone.cadastralwebmap-farbe,ch.swisstopo.amtliches-strassenverzeichnis,ch.bfs.gebaeude_wohnungs_register,KML||https://tinyurl.com/yy7ya4g9/BE/0332_bdg_erw.kml","KML building")</f>
        <v>KML building</v>
      </c>
      <c r="I25" s="154">
        <v>4</v>
      </c>
      <c r="J25" s="242" t="s">
        <v>986</v>
      </c>
      <c r="K25" s="63">
        <v>1.9704433497536944E-3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1</v>
      </c>
      <c r="AB25" s="64"/>
      <c r="AC25" s="200">
        <v>5.0000000000000001E-4</v>
      </c>
      <c r="AD25" s="155"/>
      <c r="AE25" s="153"/>
      <c r="AF25" s="140">
        <v>6</v>
      </c>
      <c r="AG25" s="140"/>
      <c r="AH25" s="200">
        <v>3.0000000000000001E-3</v>
      </c>
      <c r="AI25" s="140"/>
      <c r="AJ25" s="153"/>
      <c r="AK25" s="140">
        <v>2</v>
      </c>
      <c r="AL25" s="140"/>
      <c r="AM25" s="200">
        <v>1E-3</v>
      </c>
      <c r="AN25" s="156"/>
      <c r="AO25" s="230">
        <v>4.5000000000000005E-3</v>
      </c>
      <c r="AP25" s="223">
        <v>898</v>
      </c>
      <c r="AQ25" s="223">
        <v>752</v>
      </c>
      <c r="AR25" s="235">
        <v>0.83699999999999997</v>
      </c>
      <c r="AS25" s="223">
        <v>732</v>
      </c>
      <c r="AT25" s="235">
        <v>0.81499999999999995</v>
      </c>
      <c r="AU25" s="223">
        <v>697</v>
      </c>
      <c r="AV25" s="232">
        <v>0.77600000000000002</v>
      </c>
      <c r="AW25" s="223">
        <v>574</v>
      </c>
      <c r="AX25" s="223">
        <v>554</v>
      </c>
      <c r="AY25" s="235">
        <v>0.96499999999999997</v>
      </c>
      <c r="AZ25" s="223">
        <v>518</v>
      </c>
      <c r="BA25" s="235">
        <v>0.90200000000000002</v>
      </c>
      <c r="BB25" s="223">
        <v>515</v>
      </c>
      <c r="BC25" s="232">
        <v>0.89700000000000002</v>
      </c>
    </row>
    <row r="26" spans="1:55" x14ac:dyDescent="0.25">
      <c r="A26" s="226">
        <v>1</v>
      </c>
      <c r="B26" s="211" t="s">
        <v>117</v>
      </c>
      <c r="C26" s="211">
        <v>333</v>
      </c>
      <c r="D26" s="211" t="s">
        <v>203</v>
      </c>
      <c r="E26" s="211">
        <v>955</v>
      </c>
      <c r="F26" s="211">
        <v>956</v>
      </c>
      <c r="G26" s="211"/>
      <c r="H26" s="220" t="str">
        <f>HYPERLINK("https://map.geo.admin.ch/?zoom=7&amp;E=631300&amp;N=225800&amp;layers=ch.kantone.cadastralwebmap-farbe,ch.swisstopo.amtliches-strassenverzeichnis,ch.bfs.gebaeude_wohnungs_register,KML||https://tinyurl.com/yy7ya4g9/BE/0333_bdg_erw.kml","KML building")</f>
        <v>KML building</v>
      </c>
      <c r="I26" s="154">
        <v>0</v>
      </c>
      <c r="J26" s="241" t="s">
        <v>987</v>
      </c>
      <c r="K26" s="63">
        <v>0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0</v>
      </c>
      <c r="AB26" s="64"/>
      <c r="AC26" s="200">
        <v>0</v>
      </c>
      <c r="AD26" s="155"/>
      <c r="AE26" s="153"/>
      <c r="AF26" s="140">
        <v>1</v>
      </c>
      <c r="AG26" s="140"/>
      <c r="AH26" s="200">
        <v>1E-3</v>
      </c>
      <c r="AI26" s="140"/>
      <c r="AJ26" s="153"/>
      <c r="AK26" s="140">
        <v>0</v>
      </c>
      <c r="AL26" s="140"/>
      <c r="AM26" s="200">
        <v>0</v>
      </c>
      <c r="AN26" s="156"/>
      <c r="AO26" s="230">
        <v>1E-3</v>
      </c>
      <c r="AP26" s="223">
        <v>430</v>
      </c>
      <c r="AQ26" s="223">
        <v>364</v>
      </c>
      <c r="AR26" s="235">
        <v>0.84699999999999998</v>
      </c>
      <c r="AS26" s="223">
        <v>359</v>
      </c>
      <c r="AT26" s="235">
        <v>0.83499999999999996</v>
      </c>
      <c r="AU26" s="223">
        <v>335</v>
      </c>
      <c r="AV26" s="232">
        <v>0.77900000000000003</v>
      </c>
      <c r="AW26" s="223">
        <v>267</v>
      </c>
      <c r="AX26" s="223">
        <v>261</v>
      </c>
      <c r="AY26" s="235">
        <v>0.97799999999999998</v>
      </c>
      <c r="AZ26" s="223">
        <v>250</v>
      </c>
      <c r="BA26" s="235">
        <v>0.93600000000000005</v>
      </c>
      <c r="BB26" s="223">
        <v>248</v>
      </c>
      <c r="BC26" s="232">
        <v>0.92900000000000005</v>
      </c>
    </row>
    <row r="27" spans="1:55" x14ac:dyDescent="0.25">
      <c r="A27" s="226">
        <v>1</v>
      </c>
      <c r="B27" s="211" t="s">
        <v>117</v>
      </c>
      <c r="C27" s="211">
        <v>335</v>
      </c>
      <c r="D27" s="211" t="s">
        <v>204</v>
      </c>
      <c r="E27" s="211">
        <v>202</v>
      </c>
      <c r="F27" s="211">
        <v>202</v>
      </c>
      <c r="G27" s="211"/>
      <c r="H27" s="220" t="str">
        <f>HYPERLINK("https://map.geo.admin.ch/?zoom=7&amp;E=623400&amp;N=216800&amp;layers=ch.kantone.cadastralwebmap-farbe,ch.swisstopo.amtliches-strassenverzeichnis,ch.bfs.gebaeude_wohnungs_register,KML||https://tinyurl.com/yy7ya4g9/BE/0335_bdg_erw.kml","KML building")</f>
        <v>KML building</v>
      </c>
      <c r="I27" s="154">
        <v>2</v>
      </c>
      <c r="J27" s="242" t="s">
        <v>988</v>
      </c>
      <c r="K27" s="63">
        <v>9.9009900990099011E-3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0</v>
      </c>
      <c r="AB27" s="64"/>
      <c r="AC27" s="200">
        <v>0</v>
      </c>
      <c r="AD27" s="155"/>
      <c r="AE27" s="153"/>
      <c r="AF27" s="140">
        <v>0</v>
      </c>
      <c r="AG27" s="140"/>
      <c r="AH27" s="200">
        <v>0</v>
      </c>
      <c r="AI27" s="140"/>
      <c r="AJ27" s="153"/>
      <c r="AK27" s="140">
        <v>0</v>
      </c>
      <c r="AL27" s="140"/>
      <c r="AM27" s="200">
        <v>0</v>
      </c>
      <c r="AN27" s="156"/>
      <c r="AO27" s="230">
        <v>0</v>
      </c>
      <c r="AP27" s="223">
        <v>93</v>
      </c>
      <c r="AQ27" s="223">
        <v>84</v>
      </c>
      <c r="AR27" s="235">
        <v>0.90300000000000002</v>
      </c>
      <c r="AS27" s="223">
        <v>66</v>
      </c>
      <c r="AT27" s="235">
        <v>0.71</v>
      </c>
      <c r="AU27" s="223">
        <v>65</v>
      </c>
      <c r="AV27" s="232">
        <v>0.69899999999999995</v>
      </c>
      <c r="AW27" s="223">
        <v>55</v>
      </c>
      <c r="AX27" s="223">
        <v>54</v>
      </c>
      <c r="AY27" s="235">
        <v>0.98199999999999998</v>
      </c>
      <c r="AZ27" s="223">
        <v>52</v>
      </c>
      <c r="BA27" s="235">
        <v>0.94499999999999995</v>
      </c>
      <c r="BB27" s="223">
        <v>52</v>
      </c>
      <c r="BC27" s="232">
        <v>0.94499999999999995</v>
      </c>
    </row>
    <row r="28" spans="1:55" x14ac:dyDescent="0.25">
      <c r="A28" s="226">
        <v>1</v>
      </c>
      <c r="B28" s="211" t="s">
        <v>117</v>
      </c>
      <c r="C28" s="211">
        <v>336</v>
      </c>
      <c r="D28" s="211" t="s">
        <v>205</v>
      </c>
      <c r="E28" s="211">
        <v>157</v>
      </c>
      <c r="F28" s="211">
        <v>159</v>
      </c>
      <c r="G28" s="211"/>
      <c r="H28" s="220" t="str">
        <f>HYPERLINK("https://map.geo.admin.ch/?zoom=7&amp;E=630700&amp;N=223900&amp;layers=ch.kantone.cadastralwebmap-farbe,ch.swisstopo.amtliches-strassenverzeichnis,ch.bfs.gebaeude_wohnungs_register,KML||https://tinyurl.com/yy7ya4g9/BE/0336_bdg_erw.kml","KML building")</f>
        <v>KML building</v>
      </c>
      <c r="I28" s="154">
        <v>2</v>
      </c>
      <c r="J28" s="241" t="s">
        <v>989</v>
      </c>
      <c r="K28" s="63">
        <v>1.2738853503184714E-2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0</v>
      </c>
      <c r="W28" s="64"/>
      <c r="X28" s="200">
        <v>0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2</v>
      </c>
      <c r="AG28" s="140"/>
      <c r="AH28" s="200">
        <v>1.2699999999999999E-2</v>
      </c>
      <c r="AI28" s="140"/>
      <c r="AJ28" s="153"/>
      <c r="AK28" s="140">
        <v>0</v>
      </c>
      <c r="AL28" s="140"/>
      <c r="AM28" s="200">
        <v>0</v>
      </c>
      <c r="AN28" s="156"/>
      <c r="AO28" s="230">
        <v>1.2699999999999999E-2</v>
      </c>
      <c r="AP28" s="223">
        <v>82</v>
      </c>
      <c r="AQ28" s="223">
        <v>82</v>
      </c>
      <c r="AR28" s="235">
        <v>1</v>
      </c>
      <c r="AS28" s="223">
        <v>67</v>
      </c>
      <c r="AT28" s="235">
        <v>0.81699999999999995</v>
      </c>
      <c r="AU28" s="223">
        <v>67</v>
      </c>
      <c r="AV28" s="232">
        <v>0.81699999999999995</v>
      </c>
      <c r="AW28" s="223">
        <v>36</v>
      </c>
      <c r="AX28" s="223">
        <v>36</v>
      </c>
      <c r="AY28" s="235">
        <v>1</v>
      </c>
      <c r="AZ28" s="223">
        <v>35</v>
      </c>
      <c r="BA28" s="235">
        <v>0.97199999999999998</v>
      </c>
      <c r="BB28" s="223">
        <v>35</v>
      </c>
      <c r="BC28" s="232">
        <v>0.97199999999999998</v>
      </c>
    </row>
    <row r="29" spans="1:55" x14ac:dyDescent="0.25">
      <c r="A29" s="226">
        <v>1</v>
      </c>
      <c r="B29" s="211" t="s">
        <v>117</v>
      </c>
      <c r="C29" s="211">
        <v>337</v>
      </c>
      <c r="D29" s="211" t="s">
        <v>206</v>
      </c>
      <c r="E29" s="211">
        <v>2076</v>
      </c>
      <c r="F29" s="211">
        <v>2081</v>
      </c>
      <c r="G29" s="211"/>
      <c r="H29" s="220" t="str">
        <f>HYPERLINK("https://map.geo.admin.ch/?zoom=7&amp;E=629000&amp;N=232200&amp;layers=ch.kantone.cadastralwebmap-farbe,ch.swisstopo.amtliches-strassenverzeichnis,ch.bfs.gebaeude_wohnungs_register,KML||https://tinyurl.com/yy7ya4g9/BE/0337_bdg_erw.kml","KML building")</f>
        <v>KML building</v>
      </c>
      <c r="I29" s="154">
        <v>1</v>
      </c>
      <c r="J29" s="242" t="s">
        <v>990</v>
      </c>
      <c r="K29" s="63">
        <v>4.8169556840077071E-4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0</v>
      </c>
      <c r="AB29" s="64"/>
      <c r="AC29" s="200">
        <v>0</v>
      </c>
      <c r="AD29" s="157"/>
      <c r="AE29" s="153"/>
      <c r="AF29" s="140">
        <v>9</v>
      </c>
      <c r="AG29" s="140"/>
      <c r="AH29" s="200">
        <v>4.3E-3</v>
      </c>
      <c r="AI29" s="140"/>
      <c r="AJ29" s="153"/>
      <c r="AK29" s="140">
        <v>0</v>
      </c>
      <c r="AL29" s="140"/>
      <c r="AM29" s="200">
        <v>0</v>
      </c>
      <c r="AN29" s="156"/>
      <c r="AO29" s="230">
        <v>4.3E-3</v>
      </c>
      <c r="AP29" s="223">
        <v>728</v>
      </c>
      <c r="AQ29" s="223">
        <v>588</v>
      </c>
      <c r="AR29" s="235">
        <v>0.80800000000000005</v>
      </c>
      <c r="AS29" s="223">
        <v>541</v>
      </c>
      <c r="AT29" s="235">
        <v>0.74299999999999999</v>
      </c>
      <c r="AU29" s="223">
        <v>505</v>
      </c>
      <c r="AV29" s="232">
        <v>0.69399999999999995</v>
      </c>
      <c r="AW29" s="223">
        <v>359</v>
      </c>
      <c r="AX29" s="223">
        <v>332</v>
      </c>
      <c r="AY29" s="235">
        <v>0.92500000000000004</v>
      </c>
      <c r="AZ29" s="223">
        <v>298</v>
      </c>
      <c r="BA29" s="235">
        <v>0.83</v>
      </c>
      <c r="BB29" s="223">
        <v>294</v>
      </c>
      <c r="BC29" s="232">
        <v>0.81899999999999995</v>
      </c>
    </row>
    <row r="30" spans="1:55" x14ac:dyDescent="0.25">
      <c r="A30" s="226">
        <v>1</v>
      </c>
      <c r="B30" s="211" t="s">
        <v>117</v>
      </c>
      <c r="C30" s="211">
        <v>338</v>
      </c>
      <c r="D30" s="211" t="s">
        <v>207</v>
      </c>
      <c r="E30" s="211">
        <v>817</v>
      </c>
      <c r="F30" s="211">
        <v>822</v>
      </c>
      <c r="G30" s="211"/>
      <c r="H30" s="220" t="str">
        <f>HYPERLINK("https://map.geo.admin.ch/?zoom=7&amp;E=628600&amp;N=220600&amp;layers=ch.kantone.cadastralwebmap-farbe,ch.swisstopo.amtliches-strassenverzeichnis,ch.bfs.gebaeude_wohnungs_register,KML||https://tinyurl.com/yy7ya4g9/BE/0338_bdg_erw.kml","KML building")</f>
        <v>KML building</v>
      </c>
      <c r="I30" s="154">
        <v>1</v>
      </c>
      <c r="J30" s="242" t="s">
        <v>991</v>
      </c>
      <c r="K30" s="63">
        <v>1.2239902080783353E-3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1</v>
      </c>
      <c r="AG30" s="140"/>
      <c r="AH30" s="200">
        <v>1.1999999999999999E-3</v>
      </c>
      <c r="AI30" s="140"/>
      <c r="AJ30" s="153"/>
      <c r="AK30" s="140">
        <v>0</v>
      </c>
      <c r="AL30" s="140"/>
      <c r="AM30" s="200">
        <v>0</v>
      </c>
      <c r="AN30" s="156"/>
      <c r="AO30" s="230">
        <v>1.1999999999999999E-3</v>
      </c>
      <c r="AP30" s="223">
        <v>313</v>
      </c>
      <c r="AQ30" s="223">
        <v>261</v>
      </c>
      <c r="AR30" s="235">
        <v>0.83399999999999996</v>
      </c>
      <c r="AS30" s="223">
        <v>254</v>
      </c>
      <c r="AT30" s="235">
        <v>0.81200000000000006</v>
      </c>
      <c r="AU30" s="223">
        <v>233</v>
      </c>
      <c r="AV30" s="232">
        <v>0.74399999999999999</v>
      </c>
      <c r="AW30" s="223">
        <v>180</v>
      </c>
      <c r="AX30" s="223">
        <v>165</v>
      </c>
      <c r="AY30" s="235">
        <v>0.91700000000000004</v>
      </c>
      <c r="AZ30" s="223">
        <v>156</v>
      </c>
      <c r="BA30" s="235">
        <v>0.86699999999999999</v>
      </c>
      <c r="BB30" s="223">
        <v>152</v>
      </c>
      <c r="BC30" s="232">
        <v>0.84399999999999997</v>
      </c>
    </row>
    <row r="31" spans="1:55" x14ac:dyDescent="0.25">
      <c r="A31" s="226">
        <v>1</v>
      </c>
      <c r="B31" s="211" t="s">
        <v>117</v>
      </c>
      <c r="C31" s="211">
        <v>339</v>
      </c>
      <c r="D31" s="211" t="s">
        <v>208</v>
      </c>
      <c r="E31" s="211">
        <v>299</v>
      </c>
      <c r="F31" s="211">
        <v>300</v>
      </c>
      <c r="G31" s="211"/>
      <c r="H31" s="220" t="str">
        <f>HYPERLINK("https://map.geo.admin.ch/?zoom=7&amp;E=627200&amp;N=217300&amp;layers=ch.kantone.cadastralwebmap-farbe,ch.swisstopo.amtliches-strassenverzeichnis,ch.bfs.gebaeude_wohnungs_register,KML||https://tinyurl.com/yy7ya4g9/BE/0339_bdg_erw.kml","KML building")</f>
        <v>KML building</v>
      </c>
      <c r="I31" s="154">
        <v>0</v>
      </c>
      <c r="J31" s="241" t="s">
        <v>992</v>
      </c>
      <c r="K31" s="63">
        <v>0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0</v>
      </c>
      <c r="W31" s="64"/>
      <c r="X31" s="200">
        <v>0</v>
      </c>
      <c r="Y31" s="155"/>
      <c r="Z31" s="63"/>
      <c r="AA31" s="64">
        <v>0</v>
      </c>
      <c r="AB31" s="64"/>
      <c r="AC31" s="200">
        <v>0</v>
      </c>
      <c r="AD31" s="155"/>
      <c r="AE31" s="153"/>
      <c r="AF31" s="140">
        <v>0</v>
      </c>
      <c r="AG31" s="140"/>
      <c r="AH31" s="200">
        <v>0</v>
      </c>
      <c r="AI31" s="140"/>
      <c r="AJ31" s="153"/>
      <c r="AK31" s="140">
        <v>0</v>
      </c>
      <c r="AL31" s="140"/>
      <c r="AM31" s="200">
        <v>0</v>
      </c>
      <c r="AN31" s="156"/>
      <c r="AO31" s="230">
        <v>0</v>
      </c>
      <c r="AP31" s="223">
        <v>152</v>
      </c>
      <c r="AQ31" s="223">
        <v>128</v>
      </c>
      <c r="AR31" s="235">
        <v>0.84199999999999997</v>
      </c>
      <c r="AS31" s="223">
        <v>129</v>
      </c>
      <c r="AT31" s="235">
        <v>0.84899999999999998</v>
      </c>
      <c r="AU31" s="223">
        <v>122</v>
      </c>
      <c r="AV31" s="232">
        <v>0.80300000000000005</v>
      </c>
      <c r="AW31" s="223">
        <v>94</v>
      </c>
      <c r="AX31" s="223">
        <v>86</v>
      </c>
      <c r="AY31" s="235">
        <v>0.91500000000000004</v>
      </c>
      <c r="AZ31" s="223">
        <v>88</v>
      </c>
      <c r="BA31" s="235">
        <v>0.93600000000000005</v>
      </c>
      <c r="BB31" s="223">
        <v>85</v>
      </c>
      <c r="BC31" s="232">
        <v>0.90400000000000003</v>
      </c>
    </row>
    <row r="32" spans="1:55" x14ac:dyDescent="0.25">
      <c r="A32" s="226">
        <v>1</v>
      </c>
      <c r="B32" s="211" t="s">
        <v>117</v>
      </c>
      <c r="C32" s="211">
        <v>340</v>
      </c>
      <c r="D32" s="211" t="s">
        <v>209</v>
      </c>
      <c r="E32" s="211">
        <v>397</v>
      </c>
      <c r="F32" s="211">
        <v>404</v>
      </c>
      <c r="G32" s="211"/>
      <c r="H32" s="220" t="str">
        <f>HYPERLINK("https://map.geo.admin.ch/?zoom=7&amp;E=625500&amp;N=224900&amp;layers=ch.kantone.cadastralwebmap-farbe,ch.swisstopo.amtliches-strassenverzeichnis,ch.bfs.gebaeude_wohnungs_register,KML||https://tinyurl.com/yy7ya4g9/BE/0340_bdg_erw.kml","KML building")</f>
        <v>KML building</v>
      </c>
      <c r="I32" s="154">
        <v>0</v>
      </c>
      <c r="J32" s="243" t="s">
        <v>993</v>
      </c>
      <c r="K32" s="153">
        <v>0</v>
      </c>
      <c r="L32" s="64">
        <v>0</v>
      </c>
      <c r="M32" s="64"/>
      <c r="N32" s="200">
        <v>0</v>
      </c>
      <c r="O32" s="155"/>
      <c r="P32" s="63"/>
      <c r="Q32" s="64">
        <v>0</v>
      </c>
      <c r="R32" s="64"/>
      <c r="S32" s="200">
        <v>0</v>
      </c>
      <c r="T32" s="155"/>
      <c r="U32" s="63"/>
      <c r="V32" s="64">
        <v>0</v>
      </c>
      <c r="W32" s="64"/>
      <c r="X32" s="200">
        <v>0</v>
      </c>
      <c r="Y32" s="155"/>
      <c r="Z32" s="63"/>
      <c r="AA32" s="64">
        <v>0</v>
      </c>
      <c r="AB32" s="64"/>
      <c r="AC32" s="200">
        <v>0</v>
      </c>
      <c r="AD32" s="156"/>
      <c r="AE32" s="153"/>
      <c r="AF32" s="140">
        <v>2</v>
      </c>
      <c r="AG32" s="140"/>
      <c r="AH32" s="200">
        <v>5.0000000000000001E-3</v>
      </c>
      <c r="AI32" s="140"/>
      <c r="AJ32" s="153"/>
      <c r="AK32" s="140">
        <v>0</v>
      </c>
      <c r="AL32" s="140"/>
      <c r="AM32" s="200">
        <v>0</v>
      </c>
      <c r="AN32" s="156"/>
      <c r="AO32" s="230">
        <v>5.0000000000000001E-3</v>
      </c>
      <c r="AP32" s="223">
        <v>155</v>
      </c>
      <c r="AQ32" s="223">
        <v>123</v>
      </c>
      <c r="AR32" s="235">
        <v>0.79400000000000004</v>
      </c>
      <c r="AS32" s="223">
        <v>110</v>
      </c>
      <c r="AT32" s="235">
        <v>0.71</v>
      </c>
      <c r="AU32" s="223">
        <v>109</v>
      </c>
      <c r="AV32" s="232">
        <v>0.70299999999999996</v>
      </c>
      <c r="AW32" s="223">
        <v>83</v>
      </c>
      <c r="AX32" s="223">
        <v>79</v>
      </c>
      <c r="AY32" s="235">
        <v>0.95199999999999996</v>
      </c>
      <c r="AZ32" s="223">
        <v>76</v>
      </c>
      <c r="BA32" s="235">
        <v>0.91600000000000004</v>
      </c>
      <c r="BB32" s="223">
        <v>75</v>
      </c>
      <c r="BC32" s="232">
        <v>0.90400000000000003</v>
      </c>
    </row>
    <row r="33" spans="1:55" x14ac:dyDescent="0.25">
      <c r="A33" s="226">
        <v>1</v>
      </c>
      <c r="B33" s="211" t="s">
        <v>117</v>
      </c>
      <c r="C33" s="211">
        <v>341</v>
      </c>
      <c r="D33" s="211" t="s">
        <v>210</v>
      </c>
      <c r="E33" s="211">
        <v>330</v>
      </c>
      <c r="F33" s="211">
        <v>332</v>
      </c>
      <c r="G33" s="211"/>
      <c r="H33" s="220" t="str">
        <f>HYPERLINK("https://map.geo.admin.ch/?zoom=7&amp;E=624900&amp;N=233500&amp;layers=ch.kantone.cadastralwebmap-farbe,ch.swisstopo.amtliches-strassenverzeichnis,ch.bfs.gebaeude_wohnungs_register,KML||https://tinyurl.com/yy7ya4g9/BE/0341_bdg_erw.kml","KML building")</f>
        <v>KML building</v>
      </c>
      <c r="I33" s="154">
        <v>0</v>
      </c>
      <c r="J33" s="243" t="s">
        <v>994</v>
      </c>
      <c r="K33" s="153">
        <v>0</v>
      </c>
      <c r="L33" s="64">
        <v>0</v>
      </c>
      <c r="M33" s="64"/>
      <c r="N33" s="200">
        <v>0</v>
      </c>
      <c r="O33" s="155"/>
      <c r="P33" s="63"/>
      <c r="Q33" s="64">
        <v>0</v>
      </c>
      <c r="R33" s="64"/>
      <c r="S33" s="200">
        <v>0</v>
      </c>
      <c r="T33" s="155"/>
      <c r="U33" s="63"/>
      <c r="V33" s="64">
        <v>0</v>
      </c>
      <c r="W33" s="64"/>
      <c r="X33" s="200">
        <v>0</v>
      </c>
      <c r="Y33" s="155"/>
      <c r="Z33" s="63"/>
      <c r="AA33" s="64">
        <v>0</v>
      </c>
      <c r="AB33" s="64"/>
      <c r="AC33" s="200">
        <v>0</v>
      </c>
      <c r="AD33" s="156"/>
      <c r="AE33" s="153"/>
      <c r="AF33" s="140">
        <v>0</v>
      </c>
      <c r="AG33" s="140"/>
      <c r="AH33" s="200">
        <v>0</v>
      </c>
      <c r="AI33" s="140"/>
      <c r="AJ33" s="153"/>
      <c r="AK33" s="140">
        <v>0</v>
      </c>
      <c r="AL33" s="140"/>
      <c r="AM33" s="200">
        <v>0</v>
      </c>
      <c r="AN33" s="156"/>
      <c r="AO33" s="230">
        <v>0</v>
      </c>
      <c r="AP33" s="223">
        <v>138</v>
      </c>
      <c r="AQ33" s="223">
        <v>118</v>
      </c>
      <c r="AR33" s="235">
        <v>0.85499999999999998</v>
      </c>
      <c r="AS33" s="223">
        <v>105</v>
      </c>
      <c r="AT33" s="235">
        <v>0.76100000000000001</v>
      </c>
      <c r="AU33" s="223">
        <v>104</v>
      </c>
      <c r="AV33" s="232">
        <v>0.754</v>
      </c>
      <c r="AW33" s="223">
        <v>75</v>
      </c>
      <c r="AX33" s="223">
        <v>73</v>
      </c>
      <c r="AY33" s="235">
        <v>0.97299999999999998</v>
      </c>
      <c r="AZ33" s="223">
        <v>67</v>
      </c>
      <c r="BA33" s="235">
        <v>0.89300000000000002</v>
      </c>
      <c r="BB33" s="223">
        <v>67</v>
      </c>
      <c r="BC33" s="232">
        <v>0.89300000000000002</v>
      </c>
    </row>
    <row r="34" spans="1:55" x14ac:dyDescent="0.25">
      <c r="A34" s="226">
        <v>1</v>
      </c>
      <c r="B34" s="211" t="s">
        <v>117</v>
      </c>
      <c r="C34" s="211">
        <v>342</v>
      </c>
      <c r="D34" s="211" t="s">
        <v>211</v>
      </c>
      <c r="E34" s="211">
        <v>1646</v>
      </c>
      <c r="F34" s="211">
        <v>1662</v>
      </c>
      <c r="G34" s="211"/>
      <c r="H34" s="220" t="str">
        <f>HYPERLINK("https://map.geo.admin.ch/?zoom=7&amp;E=623200&amp;N=229300&amp;layers=ch.kantone.cadastralwebmap-farbe,ch.swisstopo.amtliches-strassenverzeichnis,ch.bfs.gebaeude_wohnungs_register,KML||https://tinyurl.com/yy7ya4g9/BE/0342_bdg_erw.kml","KML building")</f>
        <v>KML building</v>
      </c>
      <c r="I34" s="154">
        <v>0</v>
      </c>
      <c r="J34" s="243" t="s">
        <v>995</v>
      </c>
      <c r="K34" s="153">
        <v>0</v>
      </c>
      <c r="L34" s="64">
        <v>0</v>
      </c>
      <c r="M34" s="64"/>
      <c r="N34" s="200">
        <v>0</v>
      </c>
      <c r="O34" s="155"/>
      <c r="P34" s="63"/>
      <c r="Q34" s="64">
        <v>0</v>
      </c>
      <c r="R34" s="64"/>
      <c r="S34" s="200">
        <v>0</v>
      </c>
      <c r="T34" s="155"/>
      <c r="U34" s="63"/>
      <c r="V34" s="64">
        <v>0</v>
      </c>
      <c r="W34" s="64"/>
      <c r="X34" s="200">
        <v>0</v>
      </c>
      <c r="Y34" s="155"/>
      <c r="Z34" s="63"/>
      <c r="AA34" s="64">
        <v>0</v>
      </c>
      <c r="AB34" s="64"/>
      <c r="AC34" s="200">
        <v>0</v>
      </c>
      <c r="AD34" s="156"/>
      <c r="AE34" s="153"/>
      <c r="AF34" s="140">
        <v>4</v>
      </c>
      <c r="AG34" s="140"/>
      <c r="AH34" s="200">
        <v>2.3999999999999998E-3</v>
      </c>
      <c r="AI34" s="140"/>
      <c r="AJ34" s="153"/>
      <c r="AK34" s="140">
        <v>2</v>
      </c>
      <c r="AL34" s="140"/>
      <c r="AM34" s="200">
        <v>1.1999999999999999E-3</v>
      </c>
      <c r="AN34" s="156"/>
      <c r="AO34" s="230">
        <v>3.5999999999999999E-3</v>
      </c>
      <c r="AP34" s="223">
        <v>621</v>
      </c>
      <c r="AQ34" s="223">
        <v>503</v>
      </c>
      <c r="AR34" s="235">
        <v>0.81</v>
      </c>
      <c r="AS34" s="223">
        <v>474</v>
      </c>
      <c r="AT34" s="235">
        <v>0.76300000000000001</v>
      </c>
      <c r="AU34" s="223">
        <v>440</v>
      </c>
      <c r="AV34" s="232">
        <v>0.70899999999999996</v>
      </c>
      <c r="AW34" s="223">
        <v>357</v>
      </c>
      <c r="AX34" s="223">
        <v>334</v>
      </c>
      <c r="AY34" s="235">
        <v>0.93600000000000005</v>
      </c>
      <c r="AZ34" s="223">
        <v>297</v>
      </c>
      <c r="BA34" s="235">
        <v>0.83199999999999996</v>
      </c>
      <c r="BB34" s="223">
        <v>294</v>
      </c>
      <c r="BC34" s="232">
        <v>0.82399999999999995</v>
      </c>
    </row>
    <row r="35" spans="1:55" x14ac:dyDescent="0.25">
      <c r="A35" s="226">
        <v>1</v>
      </c>
      <c r="B35" s="211" t="s">
        <v>117</v>
      </c>
      <c r="C35" s="211">
        <v>344</v>
      </c>
      <c r="D35" s="211" t="s">
        <v>212</v>
      </c>
      <c r="E35" s="211">
        <v>577</v>
      </c>
      <c r="F35" s="211">
        <v>580</v>
      </c>
      <c r="G35" s="211"/>
      <c r="H35" s="220" t="str">
        <f>HYPERLINK("https://map.geo.admin.ch/?zoom=7&amp;E=625300&amp;N=220700&amp;layers=ch.kantone.cadastralwebmap-farbe,ch.swisstopo.amtliches-strassenverzeichnis,ch.bfs.gebaeude_wohnungs_register,KML||https://tinyurl.com/yy7ya4g9/BE/0344_bdg_erw.kml","KML building")</f>
        <v>KML building</v>
      </c>
      <c r="I35" s="154">
        <v>0</v>
      </c>
      <c r="J35" s="243" t="s">
        <v>996</v>
      </c>
      <c r="K35" s="153">
        <v>0</v>
      </c>
      <c r="L35" s="64">
        <v>0</v>
      </c>
      <c r="M35" s="64"/>
      <c r="N35" s="200">
        <v>0</v>
      </c>
      <c r="O35" s="155"/>
      <c r="P35" s="63"/>
      <c r="Q35" s="64">
        <v>0</v>
      </c>
      <c r="R35" s="64"/>
      <c r="S35" s="200">
        <v>0</v>
      </c>
      <c r="T35" s="155"/>
      <c r="U35" s="63"/>
      <c r="V35" s="64">
        <v>0</v>
      </c>
      <c r="W35" s="64"/>
      <c r="X35" s="200">
        <v>0</v>
      </c>
      <c r="Y35" s="155"/>
      <c r="Z35" s="63"/>
      <c r="AA35" s="64">
        <v>1</v>
      </c>
      <c r="AB35" s="64"/>
      <c r="AC35" s="200">
        <v>1.6999999999999999E-3</v>
      </c>
      <c r="AD35" s="156"/>
      <c r="AE35" s="153"/>
      <c r="AF35" s="140">
        <v>4</v>
      </c>
      <c r="AG35" s="140"/>
      <c r="AH35" s="200">
        <v>6.8999999999999999E-3</v>
      </c>
      <c r="AI35" s="140"/>
      <c r="AJ35" s="153"/>
      <c r="AK35" s="140">
        <v>1</v>
      </c>
      <c r="AL35" s="140"/>
      <c r="AM35" s="200">
        <v>1.6999999999999999E-3</v>
      </c>
      <c r="AN35" s="156"/>
      <c r="AO35" s="230">
        <v>1.03E-2</v>
      </c>
      <c r="AP35" s="223">
        <v>254</v>
      </c>
      <c r="AQ35" s="223">
        <v>207</v>
      </c>
      <c r="AR35" s="235">
        <v>0.81499999999999995</v>
      </c>
      <c r="AS35" s="223">
        <v>202</v>
      </c>
      <c r="AT35" s="235">
        <v>0.79500000000000004</v>
      </c>
      <c r="AU35" s="223">
        <v>193</v>
      </c>
      <c r="AV35" s="232">
        <v>0.76</v>
      </c>
      <c r="AW35" s="223">
        <v>177</v>
      </c>
      <c r="AX35" s="223">
        <v>161</v>
      </c>
      <c r="AY35" s="235">
        <v>0.91</v>
      </c>
      <c r="AZ35" s="223">
        <v>158</v>
      </c>
      <c r="BA35" s="235">
        <v>0.89300000000000002</v>
      </c>
      <c r="BB35" s="223">
        <v>154</v>
      </c>
      <c r="BC35" s="232">
        <v>0.87</v>
      </c>
    </row>
    <row r="36" spans="1:55" x14ac:dyDescent="0.25">
      <c r="A36" s="226">
        <v>1</v>
      </c>
      <c r="B36" s="211" t="s">
        <v>117</v>
      </c>
      <c r="C36" s="211">
        <v>345</v>
      </c>
      <c r="D36" s="211" t="s">
        <v>213</v>
      </c>
      <c r="E36" s="211">
        <v>981</v>
      </c>
      <c r="F36" s="211">
        <v>991</v>
      </c>
      <c r="G36" s="211"/>
      <c r="H36" s="220" t="str">
        <f>HYPERLINK("https://map.geo.admin.ch/?zoom=7&amp;E=628700&amp;N=234300&amp;layers=ch.kantone.cadastralwebmap-farbe,ch.swisstopo.amtliches-strassenverzeichnis,ch.bfs.gebaeude_wohnungs_register,KML||https://tinyurl.com/yy7ya4g9/BE/0345_bdg_erw.kml","KML building")</f>
        <v>KML building</v>
      </c>
      <c r="I36" s="154">
        <v>0</v>
      </c>
      <c r="J36" s="243" t="s">
        <v>997</v>
      </c>
      <c r="K36" s="153">
        <v>0</v>
      </c>
      <c r="L36" s="64">
        <v>0</v>
      </c>
      <c r="M36" s="64"/>
      <c r="N36" s="200">
        <v>0</v>
      </c>
      <c r="O36" s="155"/>
      <c r="P36" s="63"/>
      <c r="Q36" s="64">
        <v>0</v>
      </c>
      <c r="R36" s="64"/>
      <c r="S36" s="200">
        <v>0</v>
      </c>
      <c r="T36" s="155"/>
      <c r="U36" s="63"/>
      <c r="V36" s="64">
        <v>0</v>
      </c>
      <c r="W36" s="64"/>
      <c r="X36" s="200">
        <v>0</v>
      </c>
      <c r="Y36" s="155"/>
      <c r="Z36" s="63"/>
      <c r="AA36" s="64">
        <v>0</v>
      </c>
      <c r="AB36" s="64"/>
      <c r="AC36" s="200">
        <v>0</v>
      </c>
      <c r="AD36" s="156"/>
      <c r="AE36" s="153"/>
      <c r="AF36" s="140">
        <v>2</v>
      </c>
      <c r="AG36" s="140"/>
      <c r="AH36" s="200">
        <v>2E-3</v>
      </c>
      <c r="AI36" s="140"/>
      <c r="AJ36" s="153"/>
      <c r="AK36" s="140">
        <v>3</v>
      </c>
      <c r="AL36" s="140"/>
      <c r="AM36" s="200">
        <v>3.0999999999999999E-3</v>
      </c>
      <c r="AN36" s="156"/>
      <c r="AO36" s="230">
        <v>5.1000000000000004E-3</v>
      </c>
      <c r="AP36" s="223">
        <v>406</v>
      </c>
      <c r="AQ36" s="223">
        <v>327</v>
      </c>
      <c r="AR36" s="235">
        <v>0.80500000000000005</v>
      </c>
      <c r="AS36" s="223">
        <v>312</v>
      </c>
      <c r="AT36" s="235">
        <v>0.76800000000000002</v>
      </c>
      <c r="AU36" s="223">
        <v>287</v>
      </c>
      <c r="AV36" s="232">
        <v>0.70699999999999996</v>
      </c>
      <c r="AW36" s="223">
        <v>232</v>
      </c>
      <c r="AX36" s="223">
        <v>216</v>
      </c>
      <c r="AY36" s="235">
        <v>0.93100000000000005</v>
      </c>
      <c r="AZ36" s="223">
        <v>204</v>
      </c>
      <c r="BA36" s="235">
        <v>0.879</v>
      </c>
      <c r="BB36" s="223">
        <v>201</v>
      </c>
      <c r="BC36" s="232">
        <v>0.86599999999999999</v>
      </c>
    </row>
    <row r="37" spans="1:55" x14ac:dyDescent="0.25">
      <c r="A37" s="226">
        <v>1</v>
      </c>
      <c r="B37" s="211" t="s">
        <v>117</v>
      </c>
      <c r="C37" s="211">
        <v>351</v>
      </c>
      <c r="D37" s="211" t="s">
        <v>116</v>
      </c>
      <c r="E37" s="211">
        <v>21731</v>
      </c>
      <c r="F37" s="211">
        <v>22784</v>
      </c>
      <c r="G37" s="211"/>
      <c r="H37" s="220" t="str">
        <f>HYPERLINK("https://map.geo.admin.ch/?zoom=7&amp;E=600100&amp;N=199700&amp;layers=ch.kantone.cadastralwebmap-farbe,ch.swisstopo.amtliches-strassenverzeichnis,ch.bfs.gebaeude_wohnungs_register,KML||https://tinyurl.com/yy7ya4g9/BE/0351_bdg_erw.kml","KML building")</f>
        <v>KML building</v>
      </c>
      <c r="I37" s="154">
        <v>1</v>
      </c>
      <c r="J37" s="243" t="s">
        <v>998</v>
      </c>
      <c r="K37" s="153">
        <v>4.6017210436703324E-5</v>
      </c>
      <c r="L37" s="64">
        <v>0</v>
      </c>
      <c r="M37" s="64"/>
      <c r="N37" s="200">
        <v>0</v>
      </c>
      <c r="O37" s="155"/>
      <c r="P37" s="63"/>
      <c r="Q37" s="64">
        <v>0</v>
      </c>
      <c r="R37" s="64"/>
      <c r="S37" s="200">
        <v>0</v>
      </c>
      <c r="T37" s="155"/>
      <c r="U37" s="63"/>
      <c r="V37" s="64">
        <v>3</v>
      </c>
      <c r="W37" s="64"/>
      <c r="X37" s="200">
        <v>1E-4</v>
      </c>
      <c r="Y37" s="155"/>
      <c r="Z37" s="63"/>
      <c r="AA37" s="64">
        <v>6</v>
      </c>
      <c r="AB37" s="64"/>
      <c r="AC37" s="200">
        <v>2.9999999999999997E-4</v>
      </c>
      <c r="AD37" s="156"/>
      <c r="AE37" s="153"/>
      <c r="AF37" s="140">
        <v>15</v>
      </c>
      <c r="AG37" s="140"/>
      <c r="AH37" s="200">
        <v>6.9999999999999999E-4</v>
      </c>
      <c r="AI37" s="140"/>
      <c r="AJ37" s="153"/>
      <c r="AK37" s="140">
        <v>32</v>
      </c>
      <c r="AL37" s="140"/>
      <c r="AM37" s="200">
        <v>1.5E-3</v>
      </c>
      <c r="AN37" s="156"/>
      <c r="AO37" s="230">
        <v>2.5999999999999999E-3</v>
      </c>
      <c r="AP37" s="223">
        <v>5354</v>
      </c>
      <c r="AQ37" s="223">
        <v>4358</v>
      </c>
      <c r="AR37" s="235">
        <v>0.81399999999999995</v>
      </c>
      <c r="AS37" s="223">
        <v>4528</v>
      </c>
      <c r="AT37" s="235">
        <v>0.84599999999999997</v>
      </c>
      <c r="AU37" s="223">
        <v>3961</v>
      </c>
      <c r="AV37" s="232">
        <v>0.74</v>
      </c>
      <c r="AW37" s="223">
        <v>3496</v>
      </c>
      <c r="AX37" s="223">
        <v>3122</v>
      </c>
      <c r="AY37" s="235">
        <v>0.89300000000000002</v>
      </c>
      <c r="AZ37" s="223">
        <v>3097</v>
      </c>
      <c r="BA37" s="235">
        <v>0.88600000000000001</v>
      </c>
      <c r="BB37" s="223">
        <v>2879</v>
      </c>
      <c r="BC37" s="232">
        <v>0.82399999999999995</v>
      </c>
    </row>
    <row r="38" spans="1:55" x14ac:dyDescent="0.25">
      <c r="A38" s="226">
        <v>1</v>
      </c>
      <c r="B38" s="211" t="s">
        <v>117</v>
      </c>
      <c r="C38" s="211">
        <v>352</v>
      </c>
      <c r="D38" s="211" t="s">
        <v>214</v>
      </c>
      <c r="E38" s="211">
        <v>2498</v>
      </c>
      <c r="F38" s="211">
        <v>2511</v>
      </c>
      <c r="G38" s="211"/>
      <c r="H38" s="220" t="str">
        <f>HYPERLINK("https://map.geo.admin.ch/?zoom=7&amp;E=604300&amp;N=202600&amp;layers=ch.kantone.cadastralwebmap-farbe,ch.swisstopo.amtliches-strassenverzeichnis,ch.bfs.gebaeude_wohnungs_register,KML||https://tinyurl.com/yy7ya4g9/BE/0352_bdg_erw.kml","KML building")</f>
        <v>KML building</v>
      </c>
      <c r="I38" s="154">
        <v>0</v>
      </c>
      <c r="J38" s="243" t="s">
        <v>999</v>
      </c>
      <c r="K38" s="153">
        <v>0</v>
      </c>
      <c r="L38" s="64">
        <v>0</v>
      </c>
      <c r="M38" s="64"/>
      <c r="N38" s="200">
        <v>0</v>
      </c>
      <c r="O38" s="155"/>
      <c r="P38" s="63"/>
      <c r="Q38" s="64">
        <v>0</v>
      </c>
      <c r="R38" s="64"/>
      <c r="S38" s="200">
        <v>0</v>
      </c>
      <c r="T38" s="155"/>
      <c r="U38" s="63"/>
      <c r="V38" s="64">
        <v>0</v>
      </c>
      <c r="W38" s="64"/>
      <c r="X38" s="200">
        <v>0</v>
      </c>
      <c r="Y38" s="155"/>
      <c r="Z38" s="63"/>
      <c r="AA38" s="64">
        <v>0</v>
      </c>
      <c r="AB38" s="64"/>
      <c r="AC38" s="200">
        <v>0</v>
      </c>
      <c r="AD38" s="156"/>
      <c r="AE38" s="153"/>
      <c r="AF38" s="140">
        <v>3</v>
      </c>
      <c r="AG38" s="140"/>
      <c r="AH38" s="200">
        <v>1.1999999999999999E-3</v>
      </c>
      <c r="AI38" s="140"/>
      <c r="AJ38" s="153"/>
      <c r="AK38" s="140">
        <v>0</v>
      </c>
      <c r="AL38" s="140"/>
      <c r="AM38" s="200">
        <v>0</v>
      </c>
      <c r="AN38" s="156"/>
      <c r="AO38" s="230">
        <v>1.1999999999999999E-3</v>
      </c>
      <c r="AP38" s="223">
        <v>819</v>
      </c>
      <c r="AQ38" s="223">
        <v>649</v>
      </c>
      <c r="AR38" s="235">
        <v>0.79200000000000004</v>
      </c>
      <c r="AS38" s="223">
        <v>614</v>
      </c>
      <c r="AT38" s="235">
        <v>0.75</v>
      </c>
      <c r="AU38" s="223">
        <v>574</v>
      </c>
      <c r="AV38" s="232">
        <v>0.70099999999999996</v>
      </c>
      <c r="AW38" s="223">
        <v>395</v>
      </c>
      <c r="AX38" s="223">
        <v>358</v>
      </c>
      <c r="AY38" s="235">
        <v>0.90600000000000003</v>
      </c>
      <c r="AZ38" s="223">
        <v>331</v>
      </c>
      <c r="BA38" s="235">
        <v>0.83799999999999997</v>
      </c>
      <c r="BB38" s="223">
        <v>316</v>
      </c>
      <c r="BC38" s="232">
        <v>0.8</v>
      </c>
    </row>
    <row r="39" spans="1:55" x14ac:dyDescent="0.25">
      <c r="A39" s="226">
        <v>1</v>
      </c>
      <c r="B39" s="211" t="s">
        <v>117</v>
      </c>
      <c r="C39" s="211">
        <v>353</v>
      </c>
      <c r="D39" s="211" t="s">
        <v>215</v>
      </c>
      <c r="E39" s="211">
        <v>1787</v>
      </c>
      <c r="F39" s="211">
        <v>1959</v>
      </c>
      <c r="G39" s="211"/>
      <c r="H39" s="220" t="str">
        <f>HYPERLINK("https://map.geo.admin.ch/?zoom=7&amp;E=600000&amp;N=203100&amp;layers=ch.kantone.cadastralwebmap-farbe,ch.swisstopo.amtliches-strassenverzeichnis,ch.bfs.gebaeude_wohnungs_register,KML||https://tinyurl.com/yy7ya4g9/BE/0353_bdg_erw.kml","KML building")</f>
        <v>KML building</v>
      </c>
      <c r="I39" s="154">
        <v>0</v>
      </c>
      <c r="J39" s="243" t="s">
        <v>1000</v>
      </c>
      <c r="K39" s="153">
        <v>0</v>
      </c>
      <c r="L39" s="64">
        <v>0</v>
      </c>
      <c r="M39" s="64"/>
      <c r="N39" s="200">
        <v>0</v>
      </c>
      <c r="O39" s="155"/>
      <c r="P39" s="63"/>
      <c r="Q39" s="64">
        <v>0</v>
      </c>
      <c r="R39" s="64"/>
      <c r="S39" s="200">
        <v>0</v>
      </c>
      <c r="T39" s="155"/>
      <c r="U39" s="63"/>
      <c r="V39" s="64">
        <v>0</v>
      </c>
      <c r="W39" s="64"/>
      <c r="X39" s="200">
        <v>0</v>
      </c>
      <c r="Y39" s="155"/>
      <c r="Z39" s="63"/>
      <c r="AA39" s="64">
        <v>0</v>
      </c>
      <c r="AB39" s="64"/>
      <c r="AC39" s="200">
        <v>0</v>
      </c>
      <c r="AD39" s="156"/>
      <c r="AE39" s="153"/>
      <c r="AF39" s="140">
        <v>1</v>
      </c>
      <c r="AG39" s="140"/>
      <c r="AH39" s="200">
        <v>5.9999999999999995E-4</v>
      </c>
      <c r="AI39" s="140"/>
      <c r="AJ39" s="153"/>
      <c r="AK39" s="140">
        <v>0</v>
      </c>
      <c r="AL39" s="140"/>
      <c r="AM39" s="200">
        <v>0</v>
      </c>
      <c r="AN39" s="156"/>
      <c r="AO39" s="230">
        <v>5.9999999999999995E-4</v>
      </c>
      <c r="AP39" s="223">
        <v>574</v>
      </c>
      <c r="AQ39" s="223">
        <v>468</v>
      </c>
      <c r="AR39" s="235">
        <v>0.81499999999999995</v>
      </c>
      <c r="AS39" s="223">
        <v>434</v>
      </c>
      <c r="AT39" s="235">
        <v>0.75600000000000001</v>
      </c>
      <c r="AU39" s="223">
        <v>418</v>
      </c>
      <c r="AV39" s="232">
        <v>0.72799999999999998</v>
      </c>
      <c r="AW39" s="223">
        <v>137</v>
      </c>
      <c r="AX39" s="223">
        <v>130</v>
      </c>
      <c r="AY39" s="235">
        <v>0.94899999999999995</v>
      </c>
      <c r="AZ39" s="223">
        <v>119</v>
      </c>
      <c r="BA39" s="235">
        <v>0.86899999999999999</v>
      </c>
      <c r="BB39" s="223">
        <v>118</v>
      </c>
      <c r="BC39" s="232">
        <v>0.86099999999999999</v>
      </c>
    </row>
    <row r="40" spans="1:55" x14ac:dyDescent="0.25">
      <c r="A40" s="226">
        <v>1</v>
      </c>
      <c r="B40" s="211" t="s">
        <v>117</v>
      </c>
      <c r="C40" s="211">
        <v>354</v>
      </c>
      <c r="D40" s="211" t="s">
        <v>216</v>
      </c>
      <c r="E40" s="211">
        <v>1474</v>
      </c>
      <c r="F40" s="211">
        <v>1547</v>
      </c>
      <c r="G40" s="211"/>
      <c r="H40" s="220" t="str">
        <f>HYPERLINK("https://map.geo.admin.ch/?zoom=7&amp;E=598200&amp;N=205500&amp;layers=ch.kantone.cadastralwebmap-farbe,ch.swisstopo.amtliches-strassenverzeichnis,ch.bfs.gebaeude_wohnungs_register,KML||https://tinyurl.com/yy7ya4g9/BE/0354_bdg_erw.kml","KML building")</f>
        <v>KML building</v>
      </c>
      <c r="I40" s="154">
        <v>0</v>
      </c>
      <c r="J40" s="243" t="s">
        <v>1001</v>
      </c>
      <c r="K40" s="153">
        <v>0</v>
      </c>
      <c r="L40" s="64">
        <v>0</v>
      </c>
      <c r="M40" s="64"/>
      <c r="N40" s="200">
        <v>0</v>
      </c>
      <c r="O40" s="155"/>
      <c r="P40" s="63"/>
      <c r="Q40" s="64">
        <v>0</v>
      </c>
      <c r="R40" s="64"/>
      <c r="S40" s="200">
        <v>0</v>
      </c>
      <c r="T40" s="155"/>
      <c r="U40" s="63"/>
      <c r="V40" s="64">
        <v>0</v>
      </c>
      <c r="W40" s="64"/>
      <c r="X40" s="200">
        <v>0</v>
      </c>
      <c r="Y40" s="155"/>
      <c r="Z40" s="63"/>
      <c r="AA40" s="64">
        <v>0</v>
      </c>
      <c r="AB40" s="64"/>
      <c r="AC40" s="200">
        <v>0</v>
      </c>
      <c r="AD40" s="156"/>
      <c r="AE40" s="153"/>
      <c r="AF40" s="140">
        <v>0</v>
      </c>
      <c r="AG40" s="140"/>
      <c r="AH40" s="200">
        <v>0</v>
      </c>
      <c r="AI40" s="140"/>
      <c r="AJ40" s="153"/>
      <c r="AK40" s="140">
        <v>9</v>
      </c>
      <c r="AL40" s="140"/>
      <c r="AM40" s="200">
        <v>6.1000000000000004E-3</v>
      </c>
      <c r="AN40" s="156"/>
      <c r="AO40" s="230">
        <v>6.1000000000000004E-3</v>
      </c>
      <c r="AP40" s="223">
        <v>545</v>
      </c>
      <c r="AQ40" s="223">
        <v>438</v>
      </c>
      <c r="AR40" s="235">
        <v>0.80400000000000005</v>
      </c>
      <c r="AS40" s="223">
        <v>365</v>
      </c>
      <c r="AT40" s="235">
        <v>0.67</v>
      </c>
      <c r="AU40" s="223">
        <v>357</v>
      </c>
      <c r="AV40" s="232">
        <v>0.65500000000000003</v>
      </c>
      <c r="AW40" s="223">
        <v>274</v>
      </c>
      <c r="AX40" s="223">
        <v>259</v>
      </c>
      <c r="AY40" s="235">
        <v>0.94499999999999995</v>
      </c>
      <c r="AZ40" s="223">
        <v>234</v>
      </c>
      <c r="BA40" s="235">
        <v>0.85399999999999998</v>
      </c>
      <c r="BB40" s="223">
        <v>232</v>
      </c>
      <c r="BC40" s="232">
        <v>0.84699999999999998</v>
      </c>
    </row>
    <row r="41" spans="1:55" x14ac:dyDescent="0.25">
      <c r="A41" s="226">
        <v>1</v>
      </c>
      <c r="B41" s="211" t="s">
        <v>117</v>
      </c>
      <c r="C41" s="219">
        <v>355</v>
      </c>
      <c r="D41" s="211" t="s">
        <v>217</v>
      </c>
      <c r="E41" s="211">
        <v>11379</v>
      </c>
      <c r="F41" s="211">
        <v>11565</v>
      </c>
      <c r="G41" s="211"/>
      <c r="H41" s="220" t="str">
        <f>HYPERLINK("https://map.geo.admin.ch/?zoom=7&amp;E=598300&amp;N=197200&amp;layers=ch.kantone.cadastralwebmap-farbe,ch.swisstopo.amtliches-strassenverzeichnis,ch.bfs.gebaeude_wohnungs_register,KML||https://tinyurl.com/yy7ya4g9/BE/0355_bdg_erw.kml","KML building")</f>
        <v>KML building</v>
      </c>
      <c r="I41" s="154">
        <v>0</v>
      </c>
      <c r="J41" s="243" t="s">
        <v>1002</v>
      </c>
      <c r="K41" s="153">
        <v>0</v>
      </c>
      <c r="L41" s="64">
        <v>0</v>
      </c>
      <c r="M41" s="64"/>
      <c r="N41" s="200">
        <v>0</v>
      </c>
      <c r="O41" s="155"/>
      <c r="P41" s="63"/>
      <c r="Q41" s="64">
        <v>0</v>
      </c>
      <c r="R41" s="64"/>
      <c r="S41" s="200">
        <v>0</v>
      </c>
      <c r="T41" s="155"/>
      <c r="U41" s="63"/>
      <c r="V41" s="64">
        <v>0</v>
      </c>
      <c r="W41" s="64"/>
      <c r="X41" s="200">
        <v>0</v>
      </c>
      <c r="Y41" s="155"/>
      <c r="Z41" s="63"/>
      <c r="AA41" s="64">
        <v>0</v>
      </c>
      <c r="AB41" s="64"/>
      <c r="AC41" s="200">
        <v>0</v>
      </c>
      <c r="AD41" s="156"/>
      <c r="AE41" s="153"/>
      <c r="AF41" s="140">
        <v>0</v>
      </c>
      <c r="AG41" s="140"/>
      <c r="AH41" s="200">
        <v>0</v>
      </c>
      <c r="AI41" s="140"/>
      <c r="AJ41" s="153"/>
      <c r="AK41" s="140">
        <v>4</v>
      </c>
      <c r="AL41" s="140"/>
      <c r="AM41" s="200">
        <v>4.0000000000000002E-4</v>
      </c>
      <c r="AN41" s="156"/>
      <c r="AO41" s="230">
        <v>4.0000000000000002E-4</v>
      </c>
      <c r="AP41" s="223">
        <v>3820</v>
      </c>
      <c r="AQ41" s="223">
        <v>2960</v>
      </c>
      <c r="AR41" s="235">
        <v>0.77500000000000002</v>
      </c>
      <c r="AS41" s="223">
        <v>2738</v>
      </c>
      <c r="AT41" s="235">
        <v>0.71699999999999997</v>
      </c>
      <c r="AU41" s="223">
        <v>2643</v>
      </c>
      <c r="AV41" s="232">
        <v>0.69199999999999995</v>
      </c>
      <c r="AW41" s="223">
        <v>1833</v>
      </c>
      <c r="AX41" s="223">
        <v>1616</v>
      </c>
      <c r="AY41" s="235">
        <v>0.88200000000000001</v>
      </c>
      <c r="AZ41" s="223">
        <v>1480</v>
      </c>
      <c r="BA41" s="235">
        <v>0.80700000000000005</v>
      </c>
      <c r="BB41" s="223">
        <v>1454</v>
      </c>
      <c r="BC41" s="232">
        <v>0.79300000000000004</v>
      </c>
    </row>
    <row r="42" spans="1:55" x14ac:dyDescent="0.25">
      <c r="A42" s="226">
        <v>1</v>
      </c>
      <c r="B42" s="211" t="s">
        <v>117</v>
      </c>
      <c r="C42" s="211">
        <v>356</v>
      </c>
      <c r="D42" s="211" t="s">
        <v>218</v>
      </c>
      <c r="E42" s="211">
        <v>4396</v>
      </c>
      <c r="F42" s="211">
        <v>4434</v>
      </c>
      <c r="G42" s="211"/>
      <c r="H42" s="220" t="str">
        <f>HYPERLINK("https://map.geo.admin.ch/?zoom=7&amp;E=603700&amp;N=197700&amp;layers=ch.kantone.cadastralwebmap-farbe,ch.swisstopo.amtliches-strassenverzeichnis,ch.bfs.gebaeude_wohnungs_register,KML||https://tinyurl.com/yy7ya4g9/BE/0356_bdg_erw.kml","KML building")</f>
        <v>KML building</v>
      </c>
      <c r="I42" s="154">
        <v>0</v>
      </c>
      <c r="J42" s="243" t="s">
        <v>1003</v>
      </c>
      <c r="K42" s="153">
        <v>0</v>
      </c>
      <c r="L42" s="64">
        <v>0</v>
      </c>
      <c r="M42" s="64"/>
      <c r="N42" s="200">
        <v>0</v>
      </c>
      <c r="O42" s="155"/>
      <c r="P42" s="63"/>
      <c r="Q42" s="64">
        <v>0</v>
      </c>
      <c r="R42" s="64"/>
      <c r="S42" s="200">
        <v>0</v>
      </c>
      <c r="T42" s="155"/>
      <c r="U42" s="63"/>
      <c r="V42" s="64">
        <v>0</v>
      </c>
      <c r="W42" s="64"/>
      <c r="X42" s="200">
        <v>0</v>
      </c>
      <c r="Y42" s="155"/>
      <c r="Z42" s="63"/>
      <c r="AA42" s="64">
        <v>2</v>
      </c>
      <c r="AB42" s="64"/>
      <c r="AC42" s="200">
        <v>5.0000000000000001E-4</v>
      </c>
      <c r="AD42" s="156"/>
      <c r="AE42" s="153"/>
      <c r="AF42" s="140">
        <v>8</v>
      </c>
      <c r="AG42" s="140"/>
      <c r="AH42" s="200">
        <v>1.8E-3</v>
      </c>
      <c r="AI42" s="140"/>
      <c r="AJ42" s="153"/>
      <c r="AK42" s="140">
        <v>5</v>
      </c>
      <c r="AL42" s="140"/>
      <c r="AM42" s="200">
        <v>1.1000000000000001E-3</v>
      </c>
      <c r="AN42" s="156"/>
      <c r="AO42" s="230">
        <v>3.4000000000000002E-3</v>
      </c>
      <c r="AP42" s="223">
        <v>1425</v>
      </c>
      <c r="AQ42" s="223">
        <v>1304</v>
      </c>
      <c r="AR42" s="235">
        <v>0.91500000000000004</v>
      </c>
      <c r="AS42" s="223">
        <v>1297</v>
      </c>
      <c r="AT42" s="235">
        <v>0.91</v>
      </c>
      <c r="AU42" s="223">
        <v>1243</v>
      </c>
      <c r="AV42" s="232">
        <v>0.872</v>
      </c>
      <c r="AW42" s="223">
        <v>654</v>
      </c>
      <c r="AX42" s="223">
        <v>645</v>
      </c>
      <c r="AY42" s="235">
        <v>0.98599999999999999</v>
      </c>
      <c r="AZ42" s="223">
        <v>631</v>
      </c>
      <c r="BA42" s="235">
        <v>0.96499999999999997</v>
      </c>
      <c r="BB42" s="223">
        <v>624</v>
      </c>
      <c r="BC42" s="232">
        <v>0.95399999999999996</v>
      </c>
    </row>
    <row r="43" spans="1:55" x14ac:dyDescent="0.25">
      <c r="A43" s="226">
        <v>1</v>
      </c>
      <c r="B43" s="211" t="s">
        <v>117</v>
      </c>
      <c r="C43" s="211">
        <v>357</v>
      </c>
      <c r="D43" s="211" t="s">
        <v>219</v>
      </c>
      <c r="E43" s="211">
        <v>693</v>
      </c>
      <c r="F43" s="211">
        <v>695</v>
      </c>
      <c r="G43" s="211"/>
      <c r="H43" s="220" t="str">
        <f>HYPERLINK("https://map.geo.admin.ch/?zoom=7&amp;E=597400&amp;N=191400&amp;layers=ch.kantone.cadastralwebmap-farbe,ch.swisstopo.amtliches-strassenverzeichnis,ch.bfs.gebaeude_wohnungs_register,KML||https://tinyurl.com/yy7ya4g9/BE/0357_bdg_erw.kml","KML building")</f>
        <v>KML building</v>
      </c>
      <c r="I43" s="154">
        <v>0</v>
      </c>
      <c r="J43" s="243" t="s">
        <v>1004</v>
      </c>
      <c r="K43" s="153">
        <v>0</v>
      </c>
      <c r="L43" s="64">
        <v>0</v>
      </c>
      <c r="M43" s="64"/>
      <c r="N43" s="200">
        <v>0</v>
      </c>
      <c r="O43" s="155"/>
      <c r="P43" s="63"/>
      <c r="Q43" s="64">
        <v>0</v>
      </c>
      <c r="R43" s="64"/>
      <c r="S43" s="200">
        <v>0</v>
      </c>
      <c r="T43" s="155"/>
      <c r="U43" s="63"/>
      <c r="V43" s="64">
        <v>0</v>
      </c>
      <c r="W43" s="64"/>
      <c r="X43" s="200">
        <v>0</v>
      </c>
      <c r="Y43" s="155"/>
      <c r="Z43" s="63"/>
      <c r="AA43" s="64">
        <v>0</v>
      </c>
      <c r="AB43" s="64"/>
      <c r="AC43" s="200">
        <v>0</v>
      </c>
      <c r="AD43" s="156"/>
      <c r="AE43" s="153"/>
      <c r="AF43" s="140">
        <v>0</v>
      </c>
      <c r="AG43" s="140"/>
      <c r="AH43" s="200">
        <v>0</v>
      </c>
      <c r="AI43" s="140"/>
      <c r="AJ43" s="153"/>
      <c r="AK43" s="140">
        <v>0</v>
      </c>
      <c r="AL43" s="140"/>
      <c r="AM43" s="200">
        <v>0</v>
      </c>
      <c r="AN43" s="156"/>
      <c r="AO43" s="230">
        <v>0</v>
      </c>
      <c r="AP43" s="223">
        <v>413</v>
      </c>
      <c r="AQ43" s="223">
        <v>354</v>
      </c>
      <c r="AR43" s="235">
        <v>0.85699999999999998</v>
      </c>
      <c r="AS43" s="223">
        <v>316</v>
      </c>
      <c r="AT43" s="235">
        <v>0.76500000000000001</v>
      </c>
      <c r="AU43" s="223">
        <v>311</v>
      </c>
      <c r="AV43" s="232">
        <v>0.753</v>
      </c>
      <c r="AW43" s="223">
        <v>260</v>
      </c>
      <c r="AX43" s="223">
        <v>253</v>
      </c>
      <c r="AY43" s="235">
        <v>0.97299999999999998</v>
      </c>
      <c r="AZ43" s="223">
        <v>231</v>
      </c>
      <c r="BA43" s="235">
        <v>0.88800000000000001</v>
      </c>
      <c r="BB43" s="223">
        <v>227</v>
      </c>
      <c r="BC43" s="232">
        <v>0.873</v>
      </c>
    </row>
    <row r="44" spans="1:55" x14ac:dyDescent="0.25">
      <c r="A44" s="226">
        <v>1</v>
      </c>
      <c r="B44" s="211" t="s">
        <v>117</v>
      </c>
      <c r="C44" s="211">
        <v>358</v>
      </c>
      <c r="D44" s="211" t="s">
        <v>220</v>
      </c>
      <c r="E44" s="211">
        <v>1067</v>
      </c>
      <c r="F44" s="211">
        <v>1118</v>
      </c>
      <c r="G44" s="211"/>
      <c r="H44" s="220" t="str">
        <f>HYPERLINK("https://map.geo.admin.ch/?zoom=7&amp;E=606500&amp;N=200900&amp;layers=ch.kantone.cadastralwebmap-farbe,ch.swisstopo.amtliches-strassenverzeichnis,ch.bfs.gebaeude_wohnungs_register,KML||https://tinyurl.com/yy7ya4g9/BE/0358_bdg_erw.kml","KML building")</f>
        <v>KML building</v>
      </c>
      <c r="I44" s="154">
        <v>0</v>
      </c>
      <c r="J44" s="243" t="s">
        <v>1005</v>
      </c>
      <c r="K44" s="153">
        <v>0</v>
      </c>
      <c r="L44" s="64">
        <v>0</v>
      </c>
      <c r="M44" s="64"/>
      <c r="N44" s="200">
        <v>0</v>
      </c>
      <c r="O44" s="155"/>
      <c r="P44" s="63"/>
      <c r="Q44" s="64">
        <v>0</v>
      </c>
      <c r="R44" s="64"/>
      <c r="S44" s="200">
        <v>0</v>
      </c>
      <c r="T44" s="155"/>
      <c r="U44" s="63"/>
      <c r="V44" s="64">
        <v>0</v>
      </c>
      <c r="W44" s="64"/>
      <c r="X44" s="200">
        <v>0</v>
      </c>
      <c r="Y44" s="155"/>
      <c r="Z44" s="63"/>
      <c r="AA44" s="64">
        <v>0</v>
      </c>
      <c r="AB44" s="64"/>
      <c r="AC44" s="200">
        <v>0</v>
      </c>
      <c r="AD44" s="156"/>
      <c r="AE44" s="153"/>
      <c r="AF44" s="140">
        <v>1</v>
      </c>
      <c r="AG44" s="140"/>
      <c r="AH44" s="200">
        <v>8.9999999999999998E-4</v>
      </c>
      <c r="AI44" s="140"/>
      <c r="AJ44" s="153"/>
      <c r="AK44" s="140">
        <v>1</v>
      </c>
      <c r="AL44" s="140"/>
      <c r="AM44" s="200">
        <v>8.9999999999999998E-4</v>
      </c>
      <c r="AN44" s="156"/>
      <c r="AO44" s="230">
        <v>1.8E-3</v>
      </c>
      <c r="AP44" s="223">
        <v>312</v>
      </c>
      <c r="AQ44" s="223">
        <v>258</v>
      </c>
      <c r="AR44" s="235">
        <v>0.82699999999999996</v>
      </c>
      <c r="AS44" s="223">
        <v>223</v>
      </c>
      <c r="AT44" s="235">
        <v>0.71499999999999997</v>
      </c>
      <c r="AU44" s="223">
        <v>211</v>
      </c>
      <c r="AV44" s="232">
        <v>0.67600000000000005</v>
      </c>
      <c r="AW44" s="223">
        <v>176</v>
      </c>
      <c r="AX44" s="223">
        <v>169</v>
      </c>
      <c r="AY44" s="235">
        <v>0.96</v>
      </c>
      <c r="AZ44" s="223">
        <v>153</v>
      </c>
      <c r="BA44" s="235">
        <v>0.86899999999999999</v>
      </c>
      <c r="BB44" s="223">
        <v>149</v>
      </c>
      <c r="BC44" s="232">
        <v>0.84699999999999998</v>
      </c>
    </row>
    <row r="45" spans="1:55" x14ac:dyDescent="0.25">
      <c r="A45" s="226">
        <v>1</v>
      </c>
      <c r="B45" s="211" t="s">
        <v>117</v>
      </c>
      <c r="C45" s="211">
        <v>359</v>
      </c>
      <c r="D45" s="211" t="s">
        <v>221</v>
      </c>
      <c r="E45" s="211">
        <v>2834</v>
      </c>
      <c r="F45" s="211">
        <v>2943</v>
      </c>
      <c r="G45" s="211"/>
      <c r="H45" s="220" t="str">
        <f>HYPERLINK("https://map.geo.admin.ch/?zoom=7&amp;E=609300&amp;N=199400&amp;layers=ch.kantone.cadastralwebmap-farbe,ch.swisstopo.amtliches-strassenverzeichnis,ch.bfs.gebaeude_wohnungs_register,KML||https://tinyurl.com/yy7ya4g9/BE/0359_bdg_erw.kml","KML building")</f>
        <v>KML building</v>
      </c>
      <c r="I45" s="154">
        <v>0</v>
      </c>
      <c r="J45" s="243" t="s">
        <v>1006</v>
      </c>
      <c r="K45" s="153">
        <v>0</v>
      </c>
      <c r="L45" s="64">
        <v>0</v>
      </c>
      <c r="M45" s="64"/>
      <c r="N45" s="200">
        <v>0</v>
      </c>
      <c r="O45" s="155"/>
      <c r="P45" s="63"/>
      <c r="Q45" s="64">
        <v>0</v>
      </c>
      <c r="R45" s="64"/>
      <c r="S45" s="200">
        <v>0</v>
      </c>
      <c r="T45" s="155"/>
      <c r="U45" s="63"/>
      <c r="V45" s="64">
        <v>0</v>
      </c>
      <c r="W45" s="64"/>
      <c r="X45" s="200">
        <v>0</v>
      </c>
      <c r="Y45" s="155"/>
      <c r="Z45" s="63"/>
      <c r="AA45" s="64">
        <v>4</v>
      </c>
      <c r="AB45" s="64"/>
      <c r="AC45" s="200">
        <v>1.4E-3</v>
      </c>
      <c r="AD45" s="156"/>
      <c r="AE45" s="153"/>
      <c r="AF45" s="140">
        <v>6</v>
      </c>
      <c r="AG45" s="140"/>
      <c r="AH45" s="200">
        <v>2.0999999999999999E-3</v>
      </c>
      <c r="AI45" s="140"/>
      <c r="AJ45" s="153"/>
      <c r="AK45" s="140">
        <v>4</v>
      </c>
      <c r="AL45" s="140"/>
      <c r="AM45" s="200">
        <v>1.4E-3</v>
      </c>
      <c r="AN45" s="156"/>
      <c r="AO45" s="230">
        <v>4.8999999999999998E-3</v>
      </c>
      <c r="AP45" s="223">
        <v>1155</v>
      </c>
      <c r="AQ45" s="223">
        <v>967</v>
      </c>
      <c r="AR45" s="235">
        <v>0.83699999999999997</v>
      </c>
      <c r="AS45" s="223">
        <v>830</v>
      </c>
      <c r="AT45" s="235">
        <v>0.71899999999999997</v>
      </c>
      <c r="AU45" s="223">
        <v>782</v>
      </c>
      <c r="AV45" s="232">
        <v>0.67700000000000005</v>
      </c>
      <c r="AW45" s="223">
        <v>519</v>
      </c>
      <c r="AX45" s="223">
        <v>488</v>
      </c>
      <c r="AY45" s="235">
        <v>0.94</v>
      </c>
      <c r="AZ45" s="223">
        <v>463</v>
      </c>
      <c r="BA45" s="235">
        <v>0.89200000000000002</v>
      </c>
      <c r="BB45" s="223">
        <v>436</v>
      </c>
      <c r="BC45" s="232">
        <v>0.84</v>
      </c>
    </row>
    <row r="46" spans="1:55" x14ac:dyDescent="0.25">
      <c r="A46" s="226">
        <v>1</v>
      </c>
      <c r="B46" s="211" t="s">
        <v>117</v>
      </c>
      <c r="C46" s="211">
        <v>360</v>
      </c>
      <c r="D46" s="211" t="s">
        <v>222</v>
      </c>
      <c r="E46" s="211">
        <v>3808</v>
      </c>
      <c r="F46" s="211">
        <v>3921</v>
      </c>
      <c r="G46" s="211"/>
      <c r="H46" s="220" t="str">
        <f>HYPERLINK("https://map.geo.admin.ch/?zoom=7&amp;E=593900&amp;N=202500&amp;layers=ch.kantone.cadastralwebmap-farbe,ch.swisstopo.amtliches-strassenverzeichnis,ch.bfs.gebaeude_wohnungs_register,KML||https://tinyurl.com/yy7ya4g9/BE/0360_bdg_erw.kml","KML building")</f>
        <v>KML building</v>
      </c>
      <c r="I46" s="154">
        <v>0</v>
      </c>
      <c r="J46" s="243" t="s">
        <v>1007</v>
      </c>
      <c r="K46" s="153">
        <v>0</v>
      </c>
      <c r="L46" s="64">
        <v>0</v>
      </c>
      <c r="M46" s="64"/>
      <c r="N46" s="200">
        <v>0</v>
      </c>
      <c r="O46" s="155"/>
      <c r="P46" s="63"/>
      <c r="Q46" s="64">
        <v>0</v>
      </c>
      <c r="R46" s="64"/>
      <c r="S46" s="200">
        <v>0</v>
      </c>
      <c r="T46" s="155"/>
      <c r="U46" s="63"/>
      <c r="V46" s="64">
        <v>2</v>
      </c>
      <c r="W46" s="64"/>
      <c r="X46" s="200">
        <v>5.0000000000000001E-4</v>
      </c>
      <c r="Y46" s="155"/>
      <c r="Z46" s="63"/>
      <c r="AA46" s="64">
        <v>2</v>
      </c>
      <c r="AB46" s="64"/>
      <c r="AC46" s="200">
        <v>5.0000000000000001E-4</v>
      </c>
      <c r="AD46" s="156"/>
      <c r="AE46" s="153"/>
      <c r="AF46" s="140">
        <v>9</v>
      </c>
      <c r="AG46" s="140"/>
      <c r="AH46" s="200">
        <v>2.3999999999999998E-3</v>
      </c>
      <c r="AI46" s="140"/>
      <c r="AJ46" s="153"/>
      <c r="AK46" s="140">
        <v>4</v>
      </c>
      <c r="AL46" s="140"/>
      <c r="AM46" s="200">
        <v>1.1000000000000001E-3</v>
      </c>
      <c r="AN46" s="156"/>
      <c r="AO46" s="230">
        <v>4.4999999999999997E-3</v>
      </c>
      <c r="AP46" s="223">
        <v>1537</v>
      </c>
      <c r="AQ46" s="223">
        <v>1240</v>
      </c>
      <c r="AR46" s="235">
        <v>0.80700000000000005</v>
      </c>
      <c r="AS46" s="223">
        <v>1107</v>
      </c>
      <c r="AT46" s="235">
        <v>0.72</v>
      </c>
      <c r="AU46" s="223">
        <v>1096</v>
      </c>
      <c r="AV46" s="232">
        <v>0.71299999999999997</v>
      </c>
      <c r="AW46" s="223">
        <v>710</v>
      </c>
      <c r="AX46" s="223">
        <v>691</v>
      </c>
      <c r="AY46" s="235">
        <v>0.97299999999999998</v>
      </c>
      <c r="AZ46" s="223">
        <v>645</v>
      </c>
      <c r="BA46" s="235">
        <v>0.90800000000000003</v>
      </c>
      <c r="BB46" s="223">
        <v>644</v>
      </c>
      <c r="BC46" s="232">
        <v>0.90700000000000003</v>
      </c>
    </row>
    <row r="47" spans="1:55" x14ac:dyDescent="0.25">
      <c r="A47" s="226">
        <v>1</v>
      </c>
      <c r="B47" s="211" t="s">
        <v>117</v>
      </c>
      <c r="C47" s="211">
        <v>361</v>
      </c>
      <c r="D47" s="211" t="s">
        <v>223</v>
      </c>
      <c r="E47" s="211">
        <v>2720</v>
      </c>
      <c r="F47" s="211">
        <v>2784</v>
      </c>
      <c r="G47" s="211"/>
      <c r="H47" s="220" t="str">
        <f>HYPERLINK("https://map.geo.admin.ch/?zoom=7&amp;E=601200&amp;N=205300&amp;layers=ch.kantone.cadastralwebmap-farbe,ch.swisstopo.amtliches-strassenverzeichnis,ch.bfs.gebaeude_wohnungs_register,KML||https://tinyurl.com/yy7ya4g9/BE/0361_bdg_erw.kml","KML building")</f>
        <v>KML building</v>
      </c>
      <c r="I47" s="154">
        <v>0</v>
      </c>
      <c r="J47" s="243" t="s">
        <v>1008</v>
      </c>
      <c r="K47" s="153">
        <v>0</v>
      </c>
      <c r="L47" s="64">
        <v>1</v>
      </c>
      <c r="M47" s="64"/>
      <c r="N47" s="200">
        <v>4.0000000000000002E-4</v>
      </c>
      <c r="O47" s="155"/>
      <c r="P47" s="63"/>
      <c r="Q47" s="64">
        <v>0</v>
      </c>
      <c r="R47" s="64"/>
      <c r="S47" s="200">
        <v>0</v>
      </c>
      <c r="T47" s="155"/>
      <c r="U47" s="63"/>
      <c r="V47" s="64">
        <v>0</v>
      </c>
      <c r="W47" s="64"/>
      <c r="X47" s="200">
        <v>0</v>
      </c>
      <c r="Y47" s="155"/>
      <c r="Z47" s="63"/>
      <c r="AA47" s="64">
        <v>0</v>
      </c>
      <c r="AB47" s="64"/>
      <c r="AC47" s="200">
        <v>0</v>
      </c>
      <c r="AD47" s="156"/>
      <c r="AE47" s="153"/>
      <c r="AF47" s="140">
        <v>4</v>
      </c>
      <c r="AG47" s="140"/>
      <c r="AH47" s="200">
        <v>1.5E-3</v>
      </c>
      <c r="AI47" s="140"/>
      <c r="AJ47" s="153"/>
      <c r="AK47" s="140">
        <v>2</v>
      </c>
      <c r="AL47" s="140"/>
      <c r="AM47" s="200">
        <v>6.9999999999999999E-4</v>
      </c>
      <c r="AN47" s="156"/>
      <c r="AO47" s="230">
        <v>2.5999999999999999E-3</v>
      </c>
      <c r="AP47" s="223">
        <v>904</v>
      </c>
      <c r="AQ47" s="223">
        <v>843</v>
      </c>
      <c r="AR47" s="235">
        <v>0.93300000000000005</v>
      </c>
      <c r="AS47" s="223">
        <v>716</v>
      </c>
      <c r="AT47" s="235">
        <v>0.79200000000000004</v>
      </c>
      <c r="AU47" s="223">
        <v>678</v>
      </c>
      <c r="AV47" s="232">
        <v>0.75</v>
      </c>
      <c r="AW47" s="223">
        <v>428</v>
      </c>
      <c r="AX47" s="223">
        <v>405</v>
      </c>
      <c r="AY47" s="235">
        <v>0.94599999999999995</v>
      </c>
      <c r="AZ47" s="223">
        <v>368</v>
      </c>
      <c r="BA47" s="235">
        <v>0.86</v>
      </c>
      <c r="BB47" s="223">
        <v>353</v>
      </c>
      <c r="BC47" s="232">
        <v>0.82499999999999996</v>
      </c>
    </row>
    <row r="48" spans="1:55" x14ac:dyDescent="0.25">
      <c r="A48" s="226">
        <v>1</v>
      </c>
      <c r="B48" s="211" t="s">
        <v>117</v>
      </c>
      <c r="C48" s="211">
        <v>362</v>
      </c>
      <c r="D48" s="211" t="s">
        <v>224</v>
      </c>
      <c r="E48" s="211">
        <v>2489</v>
      </c>
      <c r="F48" s="211">
        <v>2517</v>
      </c>
      <c r="G48" s="211"/>
      <c r="H48" s="220" t="str">
        <f>HYPERLINK("https://map.geo.admin.ch/?zoom=7&amp;E=603100&amp;N=202700&amp;layers=ch.kantone.cadastralwebmap-farbe,ch.swisstopo.amtliches-strassenverzeichnis,ch.bfs.gebaeude_wohnungs_register,KML||https://tinyurl.com/yy7ya4g9/BE/0362_bdg_erw.kml","KML building")</f>
        <v>KML building</v>
      </c>
      <c r="I48" s="154">
        <v>0</v>
      </c>
      <c r="J48" s="243" t="s">
        <v>1009</v>
      </c>
      <c r="K48" s="153">
        <v>0</v>
      </c>
      <c r="L48" s="64">
        <v>0</v>
      </c>
      <c r="M48" s="64"/>
      <c r="N48" s="200">
        <v>0</v>
      </c>
      <c r="O48" s="155"/>
      <c r="P48" s="63"/>
      <c r="Q48" s="64">
        <v>0</v>
      </c>
      <c r="R48" s="64"/>
      <c r="S48" s="200">
        <v>0</v>
      </c>
      <c r="T48" s="155"/>
      <c r="U48" s="63"/>
      <c r="V48" s="64">
        <v>0</v>
      </c>
      <c r="W48" s="64"/>
      <c r="X48" s="200">
        <v>0</v>
      </c>
      <c r="Y48" s="155"/>
      <c r="Z48" s="63"/>
      <c r="AA48" s="64">
        <v>0</v>
      </c>
      <c r="AB48" s="64"/>
      <c r="AC48" s="200">
        <v>0</v>
      </c>
      <c r="AD48" s="156"/>
      <c r="AE48" s="153"/>
      <c r="AF48" s="140">
        <v>4</v>
      </c>
      <c r="AG48" s="140"/>
      <c r="AH48" s="200">
        <v>1.6000000000000001E-3</v>
      </c>
      <c r="AI48" s="140"/>
      <c r="AJ48" s="153"/>
      <c r="AK48" s="140">
        <v>4</v>
      </c>
      <c r="AL48" s="140"/>
      <c r="AM48" s="200">
        <v>1.6000000000000001E-3</v>
      </c>
      <c r="AN48" s="156"/>
      <c r="AO48" s="230">
        <v>3.2000000000000002E-3</v>
      </c>
      <c r="AP48" s="223">
        <v>675</v>
      </c>
      <c r="AQ48" s="223">
        <v>522</v>
      </c>
      <c r="AR48" s="235">
        <v>0.77300000000000002</v>
      </c>
      <c r="AS48" s="223">
        <v>573</v>
      </c>
      <c r="AT48" s="235">
        <v>0.84899999999999998</v>
      </c>
      <c r="AU48" s="223">
        <v>476</v>
      </c>
      <c r="AV48" s="232">
        <v>0.70499999999999996</v>
      </c>
      <c r="AW48" s="223">
        <v>400</v>
      </c>
      <c r="AX48" s="223">
        <v>330</v>
      </c>
      <c r="AY48" s="235">
        <v>0.82499999999999996</v>
      </c>
      <c r="AZ48" s="223">
        <v>364</v>
      </c>
      <c r="BA48" s="235">
        <v>0.91</v>
      </c>
      <c r="BB48" s="223">
        <v>303</v>
      </c>
      <c r="BC48" s="232">
        <v>0.75800000000000001</v>
      </c>
    </row>
    <row r="49" spans="1:55" x14ac:dyDescent="0.25">
      <c r="A49" s="226">
        <v>1</v>
      </c>
      <c r="B49" s="211" t="s">
        <v>117</v>
      </c>
      <c r="C49" s="211">
        <v>363</v>
      </c>
      <c r="D49" s="211" t="s">
        <v>225</v>
      </c>
      <c r="E49" s="211">
        <v>3081</v>
      </c>
      <c r="F49" s="211">
        <v>3113</v>
      </c>
      <c r="G49" s="211"/>
      <c r="H49" s="220" t="str">
        <f>HYPERLINK("https://map.geo.admin.ch/?zoom=7&amp;E=603600&amp;N=200600&amp;layers=ch.kantone.cadastralwebmap-farbe,ch.swisstopo.amtliches-strassenverzeichnis,ch.bfs.gebaeude_wohnungs_register,KML||https://tinyurl.com/yy7ya4g9/BE/0363_bdg_erw.kml","KML building")</f>
        <v>KML building</v>
      </c>
      <c r="I49" s="154">
        <v>0</v>
      </c>
      <c r="J49" s="243" t="s">
        <v>1010</v>
      </c>
      <c r="K49" s="153">
        <v>0</v>
      </c>
      <c r="L49" s="64">
        <v>0</v>
      </c>
      <c r="M49" s="64"/>
      <c r="N49" s="200">
        <v>0</v>
      </c>
      <c r="O49" s="155"/>
      <c r="P49" s="63"/>
      <c r="Q49" s="64">
        <v>0</v>
      </c>
      <c r="R49" s="64"/>
      <c r="S49" s="200">
        <v>0</v>
      </c>
      <c r="T49" s="155"/>
      <c r="U49" s="63"/>
      <c r="V49" s="64">
        <v>0</v>
      </c>
      <c r="W49" s="64"/>
      <c r="X49" s="200">
        <v>0</v>
      </c>
      <c r="Y49" s="155"/>
      <c r="Z49" s="63"/>
      <c r="AA49" s="64">
        <v>0</v>
      </c>
      <c r="AB49" s="64"/>
      <c r="AC49" s="200">
        <v>0</v>
      </c>
      <c r="AD49" s="156"/>
      <c r="AE49" s="153"/>
      <c r="AF49" s="140">
        <v>1</v>
      </c>
      <c r="AG49" s="140"/>
      <c r="AH49" s="200">
        <v>2.9999999999999997E-4</v>
      </c>
      <c r="AI49" s="140"/>
      <c r="AJ49" s="153"/>
      <c r="AK49" s="140">
        <v>3</v>
      </c>
      <c r="AL49" s="140"/>
      <c r="AM49" s="200">
        <v>1E-3</v>
      </c>
      <c r="AN49" s="156"/>
      <c r="AO49" s="230">
        <v>1.2999999999999999E-3</v>
      </c>
      <c r="AP49" s="223">
        <v>983</v>
      </c>
      <c r="AQ49" s="223">
        <v>812</v>
      </c>
      <c r="AR49" s="235">
        <v>0.82599999999999996</v>
      </c>
      <c r="AS49" s="223">
        <v>755</v>
      </c>
      <c r="AT49" s="235">
        <v>0.76800000000000002</v>
      </c>
      <c r="AU49" s="223">
        <v>736</v>
      </c>
      <c r="AV49" s="232">
        <v>0.749</v>
      </c>
      <c r="AW49" s="223">
        <v>431</v>
      </c>
      <c r="AX49" s="223">
        <v>424</v>
      </c>
      <c r="AY49" s="235">
        <v>0.98399999999999999</v>
      </c>
      <c r="AZ49" s="223">
        <v>385</v>
      </c>
      <c r="BA49" s="235">
        <v>0.89300000000000002</v>
      </c>
      <c r="BB49" s="223">
        <v>382</v>
      </c>
      <c r="BC49" s="232">
        <v>0.88600000000000001</v>
      </c>
    </row>
    <row r="50" spans="1:55" x14ac:dyDescent="0.25">
      <c r="A50" s="226">
        <v>1</v>
      </c>
      <c r="B50" s="211" t="s">
        <v>117</v>
      </c>
      <c r="C50" s="211">
        <v>371</v>
      </c>
      <c r="D50" s="211" t="s">
        <v>226</v>
      </c>
      <c r="E50" s="211">
        <v>10166</v>
      </c>
      <c r="F50" s="211">
        <v>10603</v>
      </c>
      <c r="G50" s="211"/>
      <c r="H50" s="220" t="str">
        <f>HYPERLINK("https://map.geo.admin.ch/?zoom=7&amp;E=585500&amp;N=221200&amp;layers=ch.kantone.cadastralwebmap-farbe,ch.swisstopo.amtliches-strassenverzeichnis,ch.bfs.gebaeude_wohnungs_register,KML||https://tinyurl.com/yy7ya4g9/BE/0371_bdg_erw.kml","KML building")</f>
        <v>KML building</v>
      </c>
      <c r="I50" s="154">
        <v>0</v>
      </c>
      <c r="J50" s="243" t="s">
        <v>1011</v>
      </c>
      <c r="K50" s="153">
        <v>0</v>
      </c>
      <c r="L50" s="64">
        <v>0</v>
      </c>
      <c r="M50" s="64"/>
      <c r="N50" s="200">
        <v>0</v>
      </c>
      <c r="O50" s="155"/>
      <c r="P50" s="63"/>
      <c r="Q50" s="64">
        <v>0</v>
      </c>
      <c r="R50" s="64"/>
      <c r="S50" s="200">
        <v>0</v>
      </c>
      <c r="T50" s="155"/>
      <c r="U50" s="63"/>
      <c r="V50" s="64">
        <v>0</v>
      </c>
      <c r="W50" s="64"/>
      <c r="X50" s="200">
        <v>0</v>
      </c>
      <c r="Y50" s="155"/>
      <c r="Z50" s="63"/>
      <c r="AA50" s="64">
        <v>2</v>
      </c>
      <c r="AB50" s="64"/>
      <c r="AC50" s="200">
        <v>2.0000000000000001E-4</v>
      </c>
      <c r="AD50" s="156"/>
      <c r="AE50" s="153"/>
      <c r="AF50" s="140">
        <v>41</v>
      </c>
      <c r="AG50" s="140"/>
      <c r="AH50" s="200">
        <v>4.0000000000000001E-3</v>
      </c>
      <c r="AI50" s="140"/>
      <c r="AJ50" s="153"/>
      <c r="AK50" s="140">
        <v>24</v>
      </c>
      <c r="AL50" s="140"/>
      <c r="AM50" s="200">
        <v>2.3999999999999998E-3</v>
      </c>
      <c r="AN50" s="156"/>
      <c r="AO50" s="230">
        <v>6.6E-3</v>
      </c>
      <c r="AP50" s="223">
        <v>2494</v>
      </c>
      <c r="AQ50" s="223">
        <v>2493</v>
      </c>
      <c r="AR50" s="235">
        <v>1</v>
      </c>
      <c r="AS50" s="223">
        <v>1977</v>
      </c>
      <c r="AT50" s="235">
        <v>0.79300000000000004</v>
      </c>
      <c r="AU50" s="223">
        <v>1976</v>
      </c>
      <c r="AV50" s="232">
        <v>0.79200000000000004</v>
      </c>
      <c r="AW50" s="223">
        <v>1556</v>
      </c>
      <c r="AX50" s="223">
        <v>1555</v>
      </c>
      <c r="AY50" s="235">
        <v>0.999</v>
      </c>
      <c r="AZ50" s="223">
        <v>1341</v>
      </c>
      <c r="BA50" s="235">
        <v>0.86199999999999999</v>
      </c>
      <c r="BB50" s="223">
        <v>1340</v>
      </c>
      <c r="BC50" s="232">
        <v>0.86099999999999999</v>
      </c>
    </row>
    <row r="51" spans="1:55" x14ac:dyDescent="0.25">
      <c r="A51" s="226">
        <v>1</v>
      </c>
      <c r="B51" s="211" t="s">
        <v>117</v>
      </c>
      <c r="C51" s="211">
        <v>372</v>
      </c>
      <c r="D51" s="211" t="s">
        <v>227</v>
      </c>
      <c r="E51" s="211">
        <v>1140</v>
      </c>
      <c r="F51" s="211">
        <v>1154</v>
      </c>
      <c r="G51" s="211"/>
      <c r="H51" s="220" t="str">
        <f>HYPERLINK("https://map.geo.admin.ch/?zoom=7&amp;E=585000&amp;N=222000&amp;layers=ch.kantone.cadastralwebmap-farbe,ch.swisstopo.amtliches-strassenverzeichnis,ch.bfs.gebaeude_wohnungs_register,KML||https://tinyurl.com/yy7ya4g9/BE/0372_bdg_erw.kml","KML building")</f>
        <v>KML building</v>
      </c>
      <c r="I51" s="154">
        <v>1</v>
      </c>
      <c r="J51" s="243" t="s">
        <v>1012</v>
      </c>
      <c r="K51" s="153">
        <v>8.7719298245614037E-4</v>
      </c>
      <c r="L51" s="64">
        <v>0</v>
      </c>
      <c r="M51" s="64"/>
      <c r="N51" s="200">
        <v>0</v>
      </c>
      <c r="O51" s="155"/>
      <c r="P51" s="63"/>
      <c r="Q51" s="64">
        <v>0</v>
      </c>
      <c r="R51" s="64"/>
      <c r="S51" s="200">
        <v>0</v>
      </c>
      <c r="T51" s="155"/>
      <c r="U51" s="63"/>
      <c r="V51" s="64">
        <v>0</v>
      </c>
      <c r="W51" s="64"/>
      <c r="X51" s="200">
        <v>0</v>
      </c>
      <c r="Y51" s="155"/>
      <c r="Z51" s="63"/>
      <c r="AA51" s="64">
        <v>0</v>
      </c>
      <c r="AB51" s="64"/>
      <c r="AC51" s="200">
        <v>0</v>
      </c>
      <c r="AD51" s="156"/>
      <c r="AE51" s="153"/>
      <c r="AF51" s="140">
        <v>2</v>
      </c>
      <c r="AG51" s="140"/>
      <c r="AH51" s="200">
        <v>1.8E-3</v>
      </c>
      <c r="AI51" s="140"/>
      <c r="AJ51" s="153"/>
      <c r="AK51" s="140">
        <v>0</v>
      </c>
      <c r="AL51" s="140"/>
      <c r="AM51" s="200">
        <v>0</v>
      </c>
      <c r="AN51" s="156"/>
      <c r="AO51" s="230">
        <v>1.8E-3</v>
      </c>
      <c r="AP51" s="223">
        <v>311</v>
      </c>
      <c r="AQ51" s="223">
        <v>257</v>
      </c>
      <c r="AR51" s="235">
        <v>0.82599999999999996</v>
      </c>
      <c r="AS51" s="223">
        <v>241</v>
      </c>
      <c r="AT51" s="235">
        <v>0.77500000000000002</v>
      </c>
      <c r="AU51" s="223">
        <v>228</v>
      </c>
      <c r="AV51" s="232">
        <v>0.73299999999999998</v>
      </c>
      <c r="AW51" s="223">
        <v>153</v>
      </c>
      <c r="AX51" s="223">
        <v>142</v>
      </c>
      <c r="AY51" s="235">
        <v>0.92800000000000005</v>
      </c>
      <c r="AZ51" s="223">
        <v>132</v>
      </c>
      <c r="BA51" s="235">
        <v>0.86299999999999999</v>
      </c>
      <c r="BB51" s="223">
        <v>128</v>
      </c>
      <c r="BC51" s="232">
        <v>0.83699999999999997</v>
      </c>
    </row>
    <row r="52" spans="1:55" x14ac:dyDescent="0.25">
      <c r="A52" s="226">
        <v>1</v>
      </c>
      <c r="B52" s="211" t="s">
        <v>117</v>
      </c>
      <c r="C52" s="211">
        <v>381</v>
      </c>
      <c r="D52" s="211" t="s">
        <v>228</v>
      </c>
      <c r="E52" s="211">
        <v>906</v>
      </c>
      <c r="F52" s="211">
        <v>913</v>
      </c>
      <c r="G52" s="211"/>
      <c r="H52" s="220" t="str">
        <f>HYPERLINK("https://map.geo.admin.ch/?zoom=7&amp;E=599300&amp;N=223900&amp;layers=ch.kantone.cadastralwebmap-farbe,ch.swisstopo.amtliches-strassenverzeichnis,ch.bfs.gebaeude_wohnungs_register,KML||https://tinyurl.com/yy7ya4g9/BE/0381_bdg_erw.kml","KML building")</f>
        <v>KML building</v>
      </c>
      <c r="I52" s="154">
        <v>0</v>
      </c>
      <c r="J52" s="243" t="s">
        <v>1013</v>
      </c>
      <c r="K52" s="153">
        <v>0</v>
      </c>
      <c r="L52" s="64">
        <v>0</v>
      </c>
      <c r="M52" s="64"/>
      <c r="N52" s="200">
        <v>0</v>
      </c>
      <c r="O52" s="155"/>
      <c r="P52" s="63"/>
      <c r="Q52" s="64">
        <v>0</v>
      </c>
      <c r="R52" s="64"/>
      <c r="S52" s="200">
        <v>0</v>
      </c>
      <c r="T52" s="155"/>
      <c r="U52" s="63"/>
      <c r="V52" s="64">
        <v>0</v>
      </c>
      <c r="W52" s="64"/>
      <c r="X52" s="200">
        <v>0</v>
      </c>
      <c r="Y52" s="155"/>
      <c r="Z52" s="63"/>
      <c r="AA52" s="64">
        <v>0</v>
      </c>
      <c r="AB52" s="64"/>
      <c r="AC52" s="200">
        <v>0</v>
      </c>
      <c r="AD52" s="156"/>
      <c r="AE52" s="153"/>
      <c r="AF52" s="140">
        <v>2</v>
      </c>
      <c r="AG52" s="140"/>
      <c r="AH52" s="200">
        <v>2.2000000000000001E-3</v>
      </c>
      <c r="AI52" s="140"/>
      <c r="AJ52" s="153"/>
      <c r="AK52" s="140">
        <v>0</v>
      </c>
      <c r="AL52" s="140"/>
      <c r="AM52" s="200">
        <v>0</v>
      </c>
      <c r="AN52" s="156"/>
      <c r="AO52" s="230">
        <v>2.2000000000000001E-3</v>
      </c>
      <c r="AP52" s="223">
        <v>359</v>
      </c>
      <c r="AQ52" s="223">
        <v>300</v>
      </c>
      <c r="AR52" s="235">
        <v>0.83599999999999997</v>
      </c>
      <c r="AS52" s="223">
        <v>258</v>
      </c>
      <c r="AT52" s="235">
        <v>0.71899999999999997</v>
      </c>
      <c r="AU52" s="223">
        <v>250</v>
      </c>
      <c r="AV52" s="232">
        <v>0.69599999999999995</v>
      </c>
      <c r="AW52" s="223">
        <v>188</v>
      </c>
      <c r="AX52" s="223">
        <v>187</v>
      </c>
      <c r="AY52" s="235">
        <v>0.995</v>
      </c>
      <c r="AZ52" s="223">
        <v>162</v>
      </c>
      <c r="BA52" s="235">
        <v>0.86199999999999999</v>
      </c>
      <c r="BB52" s="223">
        <v>161</v>
      </c>
      <c r="BC52" s="232">
        <v>0.85599999999999998</v>
      </c>
    </row>
    <row r="53" spans="1:55" x14ac:dyDescent="0.25">
      <c r="A53" s="226">
        <v>1</v>
      </c>
      <c r="B53" s="211" t="s">
        <v>117</v>
      </c>
      <c r="C53" s="211">
        <v>382</v>
      </c>
      <c r="D53" s="211" t="s">
        <v>229</v>
      </c>
      <c r="E53" s="211">
        <v>493</v>
      </c>
      <c r="F53" s="211">
        <v>495</v>
      </c>
      <c r="G53" s="211"/>
      <c r="H53" s="220" t="str">
        <f>HYPERLINK("https://map.geo.admin.ch/?zoom=7&amp;E=592700&amp;N=217200&amp;layers=ch.kantone.cadastralwebmap-farbe,ch.swisstopo.amtliches-strassenverzeichnis,ch.bfs.gebaeude_wohnungs_register,KML||https://tinyurl.com/yy7ya4g9/BE/0382_bdg_erw.kml","KML building")</f>
        <v>KML building</v>
      </c>
      <c r="I53" s="154">
        <v>1</v>
      </c>
      <c r="J53" s="243" t="s">
        <v>1014</v>
      </c>
      <c r="K53" s="153">
        <v>2.0283975659229209E-3</v>
      </c>
      <c r="L53" s="64">
        <v>0</v>
      </c>
      <c r="M53" s="64"/>
      <c r="N53" s="200">
        <v>0</v>
      </c>
      <c r="O53" s="155"/>
      <c r="P53" s="63"/>
      <c r="Q53" s="64">
        <v>0</v>
      </c>
      <c r="R53" s="64"/>
      <c r="S53" s="200">
        <v>0</v>
      </c>
      <c r="T53" s="155"/>
      <c r="U53" s="63"/>
      <c r="V53" s="64">
        <v>0</v>
      </c>
      <c r="W53" s="64"/>
      <c r="X53" s="200">
        <v>0</v>
      </c>
      <c r="Y53" s="155"/>
      <c r="Z53" s="63"/>
      <c r="AA53" s="64">
        <v>0</v>
      </c>
      <c r="AB53" s="64"/>
      <c r="AC53" s="200">
        <v>0</v>
      </c>
      <c r="AD53" s="156"/>
      <c r="AE53" s="153"/>
      <c r="AF53" s="140">
        <v>2</v>
      </c>
      <c r="AG53" s="140"/>
      <c r="AH53" s="200">
        <v>4.1000000000000003E-3</v>
      </c>
      <c r="AI53" s="140"/>
      <c r="AJ53" s="153"/>
      <c r="AK53" s="140">
        <v>0</v>
      </c>
      <c r="AL53" s="140"/>
      <c r="AM53" s="200">
        <v>0</v>
      </c>
      <c r="AN53" s="156"/>
      <c r="AO53" s="230">
        <v>4.1000000000000003E-3</v>
      </c>
      <c r="AP53" s="223">
        <v>181</v>
      </c>
      <c r="AQ53" s="223">
        <v>146</v>
      </c>
      <c r="AR53" s="235">
        <v>0.80700000000000005</v>
      </c>
      <c r="AS53" s="223">
        <v>140</v>
      </c>
      <c r="AT53" s="235">
        <v>0.77300000000000002</v>
      </c>
      <c r="AU53" s="223">
        <v>129</v>
      </c>
      <c r="AV53" s="232">
        <v>0.71299999999999997</v>
      </c>
      <c r="AW53" s="223">
        <v>113</v>
      </c>
      <c r="AX53" s="223">
        <v>109</v>
      </c>
      <c r="AY53" s="235">
        <v>0.96499999999999997</v>
      </c>
      <c r="AZ53" s="223">
        <v>102</v>
      </c>
      <c r="BA53" s="235">
        <v>0.90300000000000002</v>
      </c>
      <c r="BB53" s="223">
        <v>101</v>
      </c>
      <c r="BC53" s="232">
        <v>0.89400000000000002</v>
      </c>
    </row>
    <row r="54" spans="1:55" x14ac:dyDescent="0.25">
      <c r="A54" s="226">
        <v>1</v>
      </c>
      <c r="B54" s="211" t="s">
        <v>117</v>
      </c>
      <c r="C54" s="211">
        <v>383</v>
      </c>
      <c r="D54" s="211" t="s">
        <v>230</v>
      </c>
      <c r="E54" s="211">
        <v>1550</v>
      </c>
      <c r="F54" s="211">
        <v>1582</v>
      </c>
      <c r="G54" s="211"/>
      <c r="H54" s="220" t="str">
        <f>HYPERLINK("https://map.geo.admin.ch/?zoom=7&amp;E=595000&amp;N=220900&amp;layers=ch.kantone.cadastralwebmap-farbe,ch.swisstopo.amtliches-strassenverzeichnis,ch.bfs.gebaeude_wohnungs_register,KML||https://tinyurl.com/yy7ya4g9/BE/0383_bdg_erw.kml","KML building")</f>
        <v>KML building</v>
      </c>
      <c r="I54" s="154">
        <v>0</v>
      </c>
      <c r="J54" s="243" t="s">
        <v>1015</v>
      </c>
      <c r="K54" s="153">
        <v>0</v>
      </c>
      <c r="L54" s="64">
        <v>0</v>
      </c>
      <c r="M54" s="64"/>
      <c r="N54" s="200">
        <v>0</v>
      </c>
      <c r="O54" s="155"/>
      <c r="P54" s="63"/>
      <c r="Q54" s="64">
        <v>0</v>
      </c>
      <c r="R54" s="64"/>
      <c r="S54" s="200">
        <v>0</v>
      </c>
      <c r="T54" s="155"/>
      <c r="U54" s="63"/>
      <c r="V54" s="64">
        <v>0</v>
      </c>
      <c r="W54" s="64"/>
      <c r="X54" s="200">
        <v>0</v>
      </c>
      <c r="Y54" s="155"/>
      <c r="Z54" s="63"/>
      <c r="AA54" s="64">
        <v>2</v>
      </c>
      <c r="AB54" s="64"/>
      <c r="AC54" s="200">
        <v>1.2999999999999999E-3</v>
      </c>
      <c r="AD54" s="156"/>
      <c r="AE54" s="153"/>
      <c r="AF54" s="140">
        <v>0</v>
      </c>
      <c r="AG54" s="140"/>
      <c r="AH54" s="200">
        <v>0</v>
      </c>
      <c r="AI54" s="140"/>
      <c r="AJ54" s="153"/>
      <c r="AK54" s="140">
        <v>0</v>
      </c>
      <c r="AL54" s="140"/>
      <c r="AM54" s="200">
        <v>0</v>
      </c>
      <c r="AN54" s="156"/>
      <c r="AO54" s="230">
        <v>1.2999999999999999E-3</v>
      </c>
      <c r="AP54" s="223">
        <v>623</v>
      </c>
      <c r="AQ54" s="223">
        <v>522</v>
      </c>
      <c r="AR54" s="235">
        <v>0.83799999999999997</v>
      </c>
      <c r="AS54" s="223">
        <v>471</v>
      </c>
      <c r="AT54" s="235">
        <v>0.75600000000000001</v>
      </c>
      <c r="AU54" s="223">
        <v>459</v>
      </c>
      <c r="AV54" s="232">
        <v>0.73699999999999999</v>
      </c>
      <c r="AW54" s="223">
        <v>359</v>
      </c>
      <c r="AX54" s="223">
        <v>354</v>
      </c>
      <c r="AY54" s="235">
        <v>0.98599999999999999</v>
      </c>
      <c r="AZ54" s="223">
        <v>330</v>
      </c>
      <c r="BA54" s="235">
        <v>0.91900000000000004</v>
      </c>
      <c r="BB54" s="223">
        <v>325</v>
      </c>
      <c r="BC54" s="232">
        <v>0.90500000000000003</v>
      </c>
    </row>
    <row r="55" spans="1:55" x14ac:dyDescent="0.25">
      <c r="A55" s="226">
        <v>1</v>
      </c>
      <c r="B55" s="211" t="s">
        <v>117</v>
      </c>
      <c r="C55" s="211">
        <v>385</v>
      </c>
      <c r="D55" s="211" t="s">
        <v>231</v>
      </c>
      <c r="E55" s="211">
        <v>546</v>
      </c>
      <c r="F55" s="211">
        <v>552</v>
      </c>
      <c r="G55" s="211"/>
      <c r="H55" s="220" t="str">
        <f>HYPERLINK("https://map.geo.admin.ch/?zoom=7&amp;E=594200&amp;N=217500&amp;layers=ch.kantone.cadastralwebmap-farbe,ch.swisstopo.amtliches-strassenverzeichnis,ch.bfs.gebaeude_wohnungs_register,KML||https://tinyurl.com/yy7ya4g9/BE/0385_bdg_erw.kml","KML building")</f>
        <v>KML building</v>
      </c>
      <c r="I55" s="154">
        <v>1</v>
      </c>
      <c r="J55" s="243" t="s">
        <v>1016</v>
      </c>
      <c r="K55" s="153">
        <v>1.8315018315018315E-3</v>
      </c>
      <c r="L55" s="64">
        <v>0</v>
      </c>
      <c r="M55" s="64"/>
      <c r="N55" s="200">
        <v>0</v>
      </c>
      <c r="O55" s="155"/>
      <c r="P55" s="63"/>
      <c r="Q55" s="64">
        <v>0</v>
      </c>
      <c r="R55" s="64"/>
      <c r="S55" s="200">
        <v>0</v>
      </c>
      <c r="T55" s="155"/>
      <c r="U55" s="63"/>
      <c r="V55" s="64">
        <v>0</v>
      </c>
      <c r="W55" s="64"/>
      <c r="X55" s="200">
        <v>0</v>
      </c>
      <c r="Y55" s="155"/>
      <c r="Z55" s="63"/>
      <c r="AA55" s="64">
        <v>0</v>
      </c>
      <c r="AB55" s="64"/>
      <c r="AC55" s="200">
        <v>0</v>
      </c>
      <c r="AD55" s="156"/>
      <c r="AE55" s="153"/>
      <c r="AF55" s="140">
        <v>0</v>
      </c>
      <c r="AG55" s="140"/>
      <c r="AH55" s="200">
        <v>0</v>
      </c>
      <c r="AI55" s="140"/>
      <c r="AJ55" s="153"/>
      <c r="AK55" s="140">
        <v>1</v>
      </c>
      <c r="AL55" s="140"/>
      <c r="AM55" s="200">
        <v>1.8E-3</v>
      </c>
      <c r="AN55" s="156"/>
      <c r="AO55" s="230">
        <v>1.8E-3</v>
      </c>
      <c r="AP55" s="223">
        <v>220</v>
      </c>
      <c r="AQ55" s="223">
        <v>191</v>
      </c>
      <c r="AR55" s="235">
        <v>0.86799999999999999</v>
      </c>
      <c r="AS55" s="223">
        <v>191</v>
      </c>
      <c r="AT55" s="235">
        <v>0.86799999999999999</v>
      </c>
      <c r="AU55" s="223">
        <v>177</v>
      </c>
      <c r="AV55" s="232">
        <v>0.80500000000000005</v>
      </c>
      <c r="AW55" s="223">
        <v>144</v>
      </c>
      <c r="AX55" s="223">
        <v>129</v>
      </c>
      <c r="AY55" s="235">
        <v>0.89600000000000002</v>
      </c>
      <c r="AZ55" s="223">
        <v>131</v>
      </c>
      <c r="BA55" s="235">
        <v>0.91</v>
      </c>
      <c r="BB55" s="223">
        <v>124</v>
      </c>
      <c r="BC55" s="232">
        <v>0.86099999999999999</v>
      </c>
    </row>
    <row r="56" spans="1:55" x14ac:dyDescent="0.25">
      <c r="A56" s="226">
        <v>1</v>
      </c>
      <c r="B56" s="211" t="s">
        <v>117</v>
      </c>
      <c r="C56" s="211">
        <v>386</v>
      </c>
      <c r="D56" s="211" t="s">
        <v>232</v>
      </c>
      <c r="E56" s="211">
        <v>667</v>
      </c>
      <c r="F56" s="211">
        <v>667</v>
      </c>
      <c r="G56" s="211"/>
      <c r="H56" s="220" t="str">
        <f>HYPERLINK("https://map.geo.admin.ch/?zoom=7&amp;E=592600&amp;N=218800&amp;layers=ch.kantone.cadastralwebmap-farbe,ch.swisstopo.amtliches-strassenverzeichnis,ch.bfs.gebaeude_wohnungs_register,KML||https://tinyurl.com/yy7ya4g9/BE/0386_bdg_erw.kml","KML building")</f>
        <v>KML building</v>
      </c>
      <c r="I56" s="154">
        <v>1</v>
      </c>
      <c r="J56" s="243" t="s">
        <v>1017</v>
      </c>
      <c r="K56" s="153">
        <v>1.4992503748125937E-3</v>
      </c>
      <c r="L56" s="64">
        <v>0</v>
      </c>
      <c r="M56" s="64"/>
      <c r="N56" s="200">
        <v>0</v>
      </c>
      <c r="O56" s="155"/>
      <c r="P56" s="63"/>
      <c r="Q56" s="64">
        <v>0</v>
      </c>
      <c r="R56" s="64"/>
      <c r="S56" s="200">
        <v>0</v>
      </c>
      <c r="T56" s="155"/>
      <c r="U56" s="63"/>
      <c r="V56" s="64">
        <v>0</v>
      </c>
      <c r="W56" s="64"/>
      <c r="X56" s="200">
        <v>0</v>
      </c>
      <c r="Y56" s="155"/>
      <c r="Z56" s="63"/>
      <c r="AA56" s="64">
        <v>2</v>
      </c>
      <c r="AB56" s="64"/>
      <c r="AC56" s="200">
        <v>3.0000000000000001E-3</v>
      </c>
      <c r="AD56" s="156"/>
      <c r="AE56" s="153"/>
      <c r="AF56" s="140">
        <v>1</v>
      </c>
      <c r="AG56" s="140"/>
      <c r="AH56" s="200">
        <v>1.5E-3</v>
      </c>
      <c r="AI56" s="140"/>
      <c r="AJ56" s="153"/>
      <c r="AK56" s="140">
        <v>0</v>
      </c>
      <c r="AL56" s="140"/>
      <c r="AM56" s="200">
        <v>0</v>
      </c>
      <c r="AN56" s="156"/>
      <c r="AO56" s="230">
        <v>4.5000000000000005E-3</v>
      </c>
      <c r="AP56" s="223">
        <v>234</v>
      </c>
      <c r="AQ56" s="223">
        <v>187</v>
      </c>
      <c r="AR56" s="235">
        <v>0.79900000000000004</v>
      </c>
      <c r="AS56" s="223">
        <v>183</v>
      </c>
      <c r="AT56" s="235">
        <v>0.78200000000000003</v>
      </c>
      <c r="AU56" s="223">
        <v>166</v>
      </c>
      <c r="AV56" s="232">
        <v>0.70899999999999996</v>
      </c>
      <c r="AW56" s="223">
        <v>127</v>
      </c>
      <c r="AX56" s="223">
        <v>114</v>
      </c>
      <c r="AY56" s="235">
        <v>0.89800000000000002</v>
      </c>
      <c r="AZ56" s="223">
        <v>109</v>
      </c>
      <c r="BA56" s="235">
        <v>0.85799999999999998</v>
      </c>
      <c r="BB56" s="223">
        <v>103</v>
      </c>
      <c r="BC56" s="232">
        <v>0.81100000000000005</v>
      </c>
    </row>
    <row r="57" spans="1:55" x14ac:dyDescent="0.25">
      <c r="A57" s="226">
        <v>1</v>
      </c>
      <c r="B57" s="211" t="s">
        <v>117</v>
      </c>
      <c r="C57" s="211">
        <v>387</v>
      </c>
      <c r="D57" s="211" t="s">
        <v>233</v>
      </c>
      <c r="E57" s="211">
        <v>1975</v>
      </c>
      <c r="F57" s="211">
        <v>2002</v>
      </c>
      <c r="G57" s="211"/>
      <c r="H57" s="220" t="str">
        <f>HYPERLINK("https://map.geo.admin.ch/?zoom=7&amp;E=594500&amp;N=225700&amp;layers=ch.kantone.cadastralwebmap-farbe,ch.swisstopo.amtliches-strassenverzeichnis,ch.bfs.gebaeude_wohnungs_register,KML||https://tinyurl.com/yy7ya4g9/BE/0387_bdg_erw.kml","KML building")</f>
        <v>KML building</v>
      </c>
      <c r="I57" s="154">
        <v>1</v>
      </c>
      <c r="J57" s="243" t="s">
        <v>1018</v>
      </c>
      <c r="K57" s="153">
        <v>5.0632911392405066E-4</v>
      </c>
      <c r="L57" s="64">
        <v>0</v>
      </c>
      <c r="M57" s="64"/>
      <c r="N57" s="200">
        <v>0</v>
      </c>
      <c r="O57" s="155"/>
      <c r="P57" s="63"/>
      <c r="Q57" s="64">
        <v>0</v>
      </c>
      <c r="R57" s="64"/>
      <c r="S57" s="200">
        <v>0</v>
      </c>
      <c r="T57" s="155"/>
      <c r="U57" s="63"/>
      <c r="V57" s="64">
        <v>0</v>
      </c>
      <c r="W57" s="64"/>
      <c r="X57" s="200">
        <v>0</v>
      </c>
      <c r="Y57" s="155"/>
      <c r="Z57" s="63"/>
      <c r="AA57" s="64">
        <v>0</v>
      </c>
      <c r="AB57" s="64"/>
      <c r="AC57" s="200">
        <v>0</v>
      </c>
      <c r="AD57" s="156"/>
      <c r="AE57" s="153"/>
      <c r="AF57" s="140">
        <v>5</v>
      </c>
      <c r="AG57" s="140"/>
      <c r="AH57" s="200">
        <v>2.5000000000000001E-3</v>
      </c>
      <c r="AI57" s="140"/>
      <c r="AJ57" s="153"/>
      <c r="AK57" s="140">
        <v>5</v>
      </c>
      <c r="AL57" s="140"/>
      <c r="AM57" s="200">
        <v>2.5000000000000001E-3</v>
      </c>
      <c r="AN57" s="156"/>
      <c r="AO57" s="230">
        <v>5.0000000000000001E-3</v>
      </c>
      <c r="AP57" s="223">
        <v>601</v>
      </c>
      <c r="AQ57" s="223">
        <v>484</v>
      </c>
      <c r="AR57" s="235">
        <v>0.80500000000000005</v>
      </c>
      <c r="AS57" s="223">
        <v>453</v>
      </c>
      <c r="AT57" s="235">
        <v>0.754</v>
      </c>
      <c r="AU57" s="223">
        <v>416</v>
      </c>
      <c r="AV57" s="232">
        <v>0.69199999999999995</v>
      </c>
      <c r="AW57" s="223">
        <v>311</v>
      </c>
      <c r="AX57" s="223">
        <v>294</v>
      </c>
      <c r="AY57" s="235">
        <v>0.94499999999999995</v>
      </c>
      <c r="AZ57" s="223">
        <v>274</v>
      </c>
      <c r="BA57" s="235">
        <v>0.88100000000000001</v>
      </c>
      <c r="BB57" s="223">
        <v>259</v>
      </c>
      <c r="BC57" s="232">
        <v>0.83299999999999996</v>
      </c>
    </row>
    <row r="58" spans="1:55" x14ac:dyDescent="0.25">
      <c r="A58" s="226">
        <v>1</v>
      </c>
      <c r="B58" s="211" t="s">
        <v>117</v>
      </c>
      <c r="C58" s="211">
        <v>388</v>
      </c>
      <c r="D58" s="211" t="s">
        <v>234</v>
      </c>
      <c r="E58" s="211">
        <v>831</v>
      </c>
      <c r="F58" s="211">
        <v>838</v>
      </c>
      <c r="G58" s="211"/>
      <c r="H58" s="220" t="str">
        <f>HYPERLINK("https://map.geo.admin.ch/?zoom=7&amp;E=601400&amp;N=224800&amp;layers=ch.kantone.cadastralwebmap-farbe,ch.swisstopo.amtliches-strassenverzeichnis,ch.bfs.gebaeude_wohnungs_register,KML||https://tinyurl.com/yy7ya4g9/BE/0388_bdg_erw.kml","KML building")</f>
        <v>KML building</v>
      </c>
      <c r="I58" s="154">
        <v>0</v>
      </c>
      <c r="J58" s="243" t="s">
        <v>1019</v>
      </c>
      <c r="K58" s="153">
        <v>0</v>
      </c>
      <c r="L58" s="64">
        <v>0</v>
      </c>
      <c r="M58" s="64"/>
      <c r="N58" s="200">
        <v>0</v>
      </c>
      <c r="O58" s="155"/>
      <c r="P58" s="63"/>
      <c r="Q58" s="64">
        <v>0</v>
      </c>
      <c r="R58" s="64"/>
      <c r="S58" s="200">
        <v>0</v>
      </c>
      <c r="T58" s="155"/>
      <c r="U58" s="63"/>
      <c r="V58" s="64">
        <v>0</v>
      </c>
      <c r="W58" s="64"/>
      <c r="X58" s="200">
        <v>0</v>
      </c>
      <c r="Y58" s="155"/>
      <c r="Z58" s="63"/>
      <c r="AA58" s="64">
        <v>2</v>
      </c>
      <c r="AB58" s="64"/>
      <c r="AC58" s="200">
        <v>2.3999999999999998E-3</v>
      </c>
      <c r="AD58" s="156"/>
      <c r="AE58" s="153"/>
      <c r="AF58" s="140">
        <v>8</v>
      </c>
      <c r="AG58" s="140"/>
      <c r="AH58" s="200">
        <v>9.5999999999999992E-3</v>
      </c>
      <c r="AI58" s="140"/>
      <c r="AJ58" s="153"/>
      <c r="AK58" s="140">
        <v>1</v>
      </c>
      <c r="AL58" s="140"/>
      <c r="AM58" s="200">
        <v>1.1999999999999999E-3</v>
      </c>
      <c r="AN58" s="156"/>
      <c r="AO58" s="230">
        <v>1.3199999999999998E-2</v>
      </c>
      <c r="AP58" s="223">
        <v>380</v>
      </c>
      <c r="AQ58" s="223">
        <v>330</v>
      </c>
      <c r="AR58" s="235">
        <v>0.86799999999999999</v>
      </c>
      <c r="AS58" s="223">
        <v>260</v>
      </c>
      <c r="AT58" s="235">
        <v>0.68400000000000005</v>
      </c>
      <c r="AU58" s="223">
        <v>254</v>
      </c>
      <c r="AV58" s="232">
        <v>0.66800000000000004</v>
      </c>
      <c r="AW58" s="223">
        <v>211</v>
      </c>
      <c r="AX58" s="223">
        <v>200</v>
      </c>
      <c r="AY58" s="235">
        <v>0.94799999999999995</v>
      </c>
      <c r="AZ58" s="223">
        <v>170</v>
      </c>
      <c r="BA58" s="235">
        <v>0.80600000000000005</v>
      </c>
      <c r="BB58" s="223">
        <v>167</v>
      </c>
      <c r="BC58" s="232">
        <v>0.79100000000000004</v>
      </c>
    </row>
    <row r="59" spans="1:55" x14ac:dyDescent="0.25">
      <c r="A59" s="226">
        <v>1</v>
      </c>
      <c r="B59" s="211" t="s">
        <v>117</v>
      </c>
      <c r="C59" s="211">
        <v>389</v>
      </c>
      <c r="D59" s="211" t="s">
        <v>235</v>
      </c>
      <c r="E59" s="211">
        <v>57</v>
      </c>
      <c r="F59" s="211">
        <v>59</v>
      </c>
      <c r="G59" s="211"/>
      <c r="H59" s="220" t="str">
        <f>HYPERLINK("https://map.geo.admin.ch/?zoom=7&amp;E=592400&amp;N=220900&amp;layers=ch.kantone.cadastralwebmap-farbe,ch.swisstopo.amtliches-strassenverzeichnis,ch.bfs.gebaeude_wohnungs_register,KML||https://tinyurl.com/yy7ya4g9/BE/0389_bdg_erw.kml","KML building")</f>
        <v>KML building</v>
      </c>
      <c r="I59" s="154">
        <v>0</v>
      </c>
      <c r="J59" s="243" t="s">
        <v>1020</v>
      </c>
      <c r="K59" s="153">
        <v>0</v>
      </c>
      <c r="L59" s="64">
        <v>0</v>
      </c>
      <c r="M59" s="64"/>
      <c r="N59" s="200">
        <v>0</v>
      </c>
      <c r="O59" s="155"/>
      <c r="P59" s="63"/>
      <c r="Q59" s="64">
        <v>0</v>
      </c>
      <c r="R59" s="64"/>
      <c r="S59" s="200">
        <v>0</v>
      </c>
      <c r="T59" s="155"/>
      <c r="U59" s="63"/>
      <c r="V59" s="64">
        <v>0</v>
      </c>
      <c r="W59" s="64"/>
      <c r="X59" s="200">
        <v>0</v>
      </c>
      <c r="Y59" s="155"/>
      <c r="Z59" s="63"/>
      <c r="AA59" s="64">
        <v>0</v>
      </c>
      <c r="AB59" s="64"/>
      <c r="AC59" s="200">
        <v>0</v>
      </c>
      <c r="AD59" s="156"/>
      <c r="AE59" s="153"/>
      <c r="AF59" s="140">
        <v>0</v>
      </c>
      <c r="AG59" s="140"/>
      <c r="AH59" s="200">
        <v>0</v>
      </c>
      <c r="AI59" s="140"/>
      <c r="AJ59" s="153"/>
      <c r="AK59" s="140">
        <v>0</v>
      </c>
      <c r="AL59" s="140"/>
      <c r="AM59" s="200">
        <v>0</v>
      </c>
      <c r="AN59" s="156"/>
      <c r="AO59" s="230">
        <v>0</v>
      </c>
      <c r="AP59" s="223">
        <v>35</v>
      </c>
      <c r="AQ59" s="223">
        <v>35</v>
      </c>
      <c r="AR59" s="235">
        <v>1</v>
      </c>
      <c r="AS59" s="223">
        <v>24</v>
      </c>
      <c r="AT59" s="235">
        <v>0.68600000000000005</v>
      </c>
      <c r="AU59" s="223">
        <v>24</v>
      </c>
      <c r="AV59" s="232">
        <v>0.68600000000000005</v>
      </c>
      <c r="AW59" s="223">
        <v>21</v>
      </c>
      <c r="AX59" s="223">
        <v>21</v>
      </c>
      <c r="AY59" s="235">
        <v>1</v>
      </c>
      <c r="AZ59" s="223">
        <v>19</v>
      </c>
      <c r="BA59" s="235">
        <v>0.90500000000000003</v>
      </c>
      <c r="BB59" s="223">
        <v>19</v>
      </c>
      <c r="BC59" s="232">
        <v>0.90500000000000003</v>
      </c>
    </row>
    <row r="60" spans="1:55" x14ac:dyDescent="0.25">
      <c r="A60" s="226">
        <v>1</v>
      </c>
      <c r="B60" s="211" t="s">
        <v>117</v>
      </c>
      <c r="C60" s="211">
        <v>390</v>
      </c>
      <c r="D60" s="211" t="s">
        <v>236</v>
      </c>
      <c r="E60" s="211">
        <v>725</v>
      </c>
      <c r="F60" s="211">
        <v>725</v>
      </c>
      <c r="G60" s="211"/>
      <c r="H60" s="220" t="str">
        <f>HYPERLINK("https://map.geo.admin.ch/?zoom=7&amp;E=593200&amp;N=223200&amp;layers=ch.kantone.cadastralwebmap-farbe,ch.swisstopo.amtliches-strassenverzeichnis,ch.bfs.gebaeude_wohnungs_register,KML||https://tinyurl.com/yy7ya4g9/BE/0390_bdg_erw.kml","KML building")</f>
        <v>KML building</v>
      </c>
      <c r="I60" s="154">
        <v>0</v>
      </c>
      <c r="J60" s="243" t="s">
        <v>1021</v>
      </c>
      <c r="K60" s="153">
        <v>0</v>
      </c>
      <c r="L60" s="64">
        <v>0</v>
      </c>
      <c r="M60" s="64"/>
      <c r="N60" s="200">
        <v>0</v>
      </c>
      <c r="O60" s="155"/>
      <c r="P60" s="63"/>
      <c r="Q60" s="64">
        <v>0</v>
      </c>
      <c r="R60" s="64"/>
      <c r="S60" s="200">
        <v>0</v>
      </c>
      <c r="T60" s="155"/>
      <c r="U60" s="63"/>
      <c r="V60" s="64">
        <v>0</v>
      </c>
      <c r="W60" s="64"/>
      <c r="X60" s="200">
        <v>0</v>
      </c>
      <c r="Y60" s="155"/>
      <c r="Z60" s="63"/>
      <c r="AA60" s="64">
        <v>0</v>
      </c>
      <c r="AB60" s="64"/>
      <c r="AC60" s="200">
        <v>0</v>
      </c>
      <c r="AD60" s="156"/>
      <c r="AE60" s="153"/>
      <c r="AF60" s="140">
        <v>3</v>
      </c>
      <c r="AG60" s="140"/>
      <c r="AH60" s="200">
        <v>4.1000000000000003E-3</v>
      </c>
      <c r="AI60" s="140"/>
      <c r="AJ60" s="153"/>
      <c r="AK60" s="140">
        <v>1</v>
      </c>
      <c r="AL60" s="140"/>
      <c r="AM60" s="200">
        <v>1.4E-3</v>
      </c>
      <c r="AN60" s="156"/>
      <c r="AO60" s="230">
        <v>5.5000000000000005E-3</v>
      </c>
      <c r="AP60" s="223">
        <v>228</v>
      </c>
      <c r="AQ60" s="223">
        <v>211</v>
      </c>
      <c r="AR60" s="235">
        <v>0.92500000000000004</v>
      </c>
      <c r="AS60" s="223">
        <v>179</v>
      </c>
      <c r="AT60" s="235">
        <v>0.78500000000000003</v>
      </c>
      <c r="AU60" s="223">
        <v>177</v>
      </c>
      <c r="AV60" s="232">
        <v>0.77600000000000002</v>
      </c>
      <c r="AW60" s="223">
        <v>123</v>
      </c>
      <c r="AX60" s="223">
        <v>115</v>
      </c>
      <c r="AY60" s="235">
        <v>0.93500000000000005</v>
      </c>
      <c r="AZ60" s="223">
        <v>105</v>
      </c>
      <c r="BA60" s="235">
        <v>0.85399999999999998</v>
      </c>
      <c r="BB60" s="223">
        <v>104</v>
      </c>
      <c r="BC60" s="232">
        <v>0.84599999999999997</v>
      </c>
    </row>
    <row r="61" spans="1:55" x14ac:dyDescent="0.25">
      <c r="A61" s="226">
        <v>1</v>
      </c>
      <c r="B61" s="211" t="s">
        <v>117</v>
      </c>
      <c r="C61" s="211">
        <v>391</v>
      </c>
      <c r="D61" s="211" t="s">
        <v>237</v>
      </c>
      <c r="E61" s="211">
        <v>506</v>
      </c>
      <c r="F61" s="211">
        <v>519</v>
      </c>
      <c r="G61" s="211"/>
      <c r="H61" s="220" t="str">
        <f>HYPERLINK("https://map.geo.admin.ch/?zoom=7&amp;E=597500&amp;N=219700&amp;layers=ch.kantone.cadastralwebmap-farbe,ch.swisstopo.amtliches-strassenverzeichnis,ch.bfs.gebaeude_wohnungs_register,KML||https://tinyurl.com/yy7ya4g9/BE/0391_bdg_erw.kml","KML building")</f>
        <v>KML building</v>
      </c>
      <c r="I61" s="154">
        <v>0</v>
      </c>
      <c r="J61" s="243" t="s">
        <v>1022</v>
      </c>
      <c r="K61" s="153">
        <v>0</v>
      </c>
      <c r="L61" s="64">
        <v>0</v>
      </c>
      <c r="M61" s="64"/>
      <c r="N61" s="200">
        <v>0</v>
      </c>
      <c r="O61" s="155"/>
      <c r="P61" s="63"/>
      <c r="Q61" s="64">
        <v>0</v>
      </c>
      <c r="R61" s="64"/>
      <c r="S61" s="200">
        <v>0</v>
      </c>
      <c r="T61" s="155"/>
      <c r="U61" s="63"/>
      <c r="V61" s="64">
        <v>0</v>
      </c>
      <c r="W61" s="64"/>
      <c r="X61" s="200">
        <v>0</v>
      </c>
      <c r="Y61" s="155"/>
      <c r="Z61" s="63"/>
      <c r="AA61" s="64">
        <v>0</v>
      </c>
      <c r="AB61" s="64"/>
      <c r="AC61" s="200">
        <v>0</v>
      </c>
      <c r="AD61" s="156"/>
      <c r="AE61" s="153"/>
      <c r="AF61" s="140">
        <v>0</v>
      </c>
      <c r="AG61" s="140"/>
      <c r="AH61" s="200">
        <v>0</v>
      </c>
      <c r="AI61" s="140"/>
      <c r="AJ61" s="153"/>
      <c r="AK61" s="140">
        <v>0</v>
      </c>
      <c r="AL61" s="140"/>
      <c r="AM61" s="200">
        <v>0</v>
      </c>
      <c r="AN61" s="156"/>
      <c r="AO61" s="230">
        <v>0</v>
      </c>
      <c r="AP61" s="223">
        <v>202</v>
      </c>
      <c r="AQ61" s="223">
        <v>173</v>
      </c>
      <c r="AR61" s="235">
        <v>0.85599999999999998</v>
      </c>
      <c r="AS61" s="223">
        <v>158</v>
      </c>
      <c r="AT61" s="235">
        <v>0.78200000000000003</v>
      </c>
      <c r="AU61" s="223">
        <v>151</v>
      </c>
      <c r="AV61" s="232">
        <v>0.748</v>
      </c>
      <c r="AW61" s="223">
        <v>130</v>
      </c>
      <c r="AX61" s="223">
        <v>124</v>
      </c>
      <c r="AY61" s="235">
        <v>0.95399999999999996</v>
      </c>
      <c r="AZ61" s="223">
        <v>115</v>
      </c>
      <c r="BA61" s="235">
        <v>0.88500000000000001</v>
      </c>
      <c r="BB61" s="223">
        <v>112</v>
      </c>
      <c r="BC61" s="232">
        <v>0.86199999999999999</v>
      </c>
    </row>
    <row r="62" spans="1:55" x14ac:dyDescent="0.25">
      <c r="A62" s="226">
        <v>1</v>
      </c>
      <c r="B62" s="211" t="s">
        <v>117</v>
      </c>
      <c r="C62" s="211">
        <v>392</v>
      </c>
      <c r="D62" s="211" t="s">
        <v>238</v>
      </c>
      <c r="E62" s="211">
        <v>1557</v>
      </c>
      <c r="F62" s="211">
        <v>1577</v>
      </c>
      <c r="G62" s="211"/>
      <c r="H62" s="220" t="str">
        <f>HYPERLINK("https://map.geo.admin.ch/?zoom=7&amp;E=592300&amp;N=224900&amp;layers=ch.kantone.cadastralwebmap-farbe,ch.swisstopo.amtliches-strassenverzeichnis,ch.bfs.gebaeude_wohnungs_register,KML||https://tinyurl.com/yy7ya4g9/BE/0392_bdg_erw.kml","KML building")</f>
        <v>KML building</v>
      </c>
      <c r="I62" s="154">
        <v>1</v>
      </c>
      <c r="J62" s="243" t="s">
        <v>1023</v>
      </c>
      <c r="K62" s="153">
        <v>6.4226075786769424E-4</v>
      </c>
      <c r="L62" s="64">
        <v>0</v>
      </c>
      <c r="M62" s="64"/>
      <c r="N62" s="200">
        <v>0</v>
      </c>
      <c r="O62" s="155"/>
      <c r="P62" s="63"/>
      <c r="Q62" s="64">
        <v>0</v>
      </c>
      <c r="R62" s="64"/>
      <c r="S62" s="200">
        <v>0</v>
      </c>
      <c r="T62" s="155"/>
      <c r="U62" s="63"/>
      <c r="V62" s="64">
        <v>0</v>
      </c>
      <c r="W62" s="64"/>
      <c r="X62" s="200">
        <v>0</v>
      </c>
      <c r="Y62" s="155"/>
      <c r="Z62" s="63"/>
      <c r="AA62" s="64">
        <v>0</v>
      </c>
      <c r="AB62" s="64"/>
      <c r="AC62" s="200">
        <v>0</v>
      </c>
      <c r="AD62" s="156"/>
      <c r="AE62" s="153"/>
      <c r="AF62" s="140">
        <v>5</v>
      </c>
      <c r="AG62" s="140"/>
      <c r="AH62" s="200">
        <v>3.2000000000000002E-3</v>
      </c>
      <c r="AI62" s="140"/>
      <c r="AJ62" s="153"/>
      <c r="AK62" s="140">
        <v>1</v>
      </c>
      <c r="AL62" s="140"/>
      <c r="AM62" s="200">
        <v>5.9999999999999995E-4</v>
      </c>
      <c r="AN62" s="156"/>
      <c r="AO62" s="230">
        <v>3.8E-3</v>
      </c>
      <c r="AP62" s="223">
        <v>520</v>
      </c>
      <c r="AQ62" s="223">
        <v>419</v>
      </c>
      <c r="AR62" s="235">
        <v>0.80600000000000005</v>
      </c>
      <c r="AS62" s="223">
        <v>368</v>
      </c>
      <c r="AT62" s="235">
        <v>0.70799999999999996</v>
      </c>
      <c r="AU62" s="223">
        <v>349</v>
      </c>
      <c r="AV62" s="232">
        <v>0.67100000000000004</v>
      </c>
      <c r="AW62" s="223">
        <v>300</v>
      </c>
      <c r="AX62" s="223">
        <v>281</v>
      </c>
      <c r="AY62" s="235">
        <v>0.93700000000000006</v>
      </c>
      <c r="AZ62" s="223">
        <v>240</v>
      </c>
      <c r="BA62" s="235">
        <v>0.8</v>
      </c>
      <c r="BB62" s="223">
        <v>234</v>
      </c>
      <c r="BC62" s="232">
        <v>0.78</v>
      </c>
    </row>
    <row r="63" spans="1:55" x14ac:dyDescent="0.25">
      <c r="A63" s="226">
        <v>1</v>
      </c>
      <c r="B63" s="211" t="s">
        <v>117</v>
      </c>
      <c r="C63" s="211">
        <v>393</v>
      </c>
      <c r="D63" s="211" t="s">
        <v>239</v>
      </c>
      <c r="E63" s="211">
        <v>510</v>
      </c>
      <c r="F63" s="211">
        <v>510</v>
      </c>
      <c r="G63" s="211"/>
      <c r="H63" s="220" t="str">
        <f>HYPERLINK("https://map.geo.admin.ch/?zoom=7&amp;E=597500&amp;N=222300&amp;layers=ch.kantone.cadastralwebmap-farbe,ch.swisstopo.amtliches-strassenverzeichnis,ch.bfs.gebaeude_wohnungs_register,KML||https://tinyurl.com/yy7ya4g9/BE/0393_bdg_erw.kml","KML building")</f>
        <v>KML building</v>
      </c>
      <c r="I63" s="154">
        <v>0</v>
      </c>
      <c r="J63" s="243" t="s">
        <v>1024</v>
      </c>
      <c r="K63" s="153">
        <v>0</v>
      </c>
      <c r="L63" s="64">
        <v>0</v>
      </c>
      <c r="M63" s="64"/>
      <c r="N63" s="200">
        <v>0</v>
      </c>
      <c r="O63" s="155"/>
      <c r="P63" s="63"/>
      <c r="Q63" s="64">
        <v>0</v>
      </c>
      <c r="R63" s="64"/>
      <c r="S63" s="200">
        <v>0</v>
      </c>
      <c r="T63" s="155"/>
      <c r="U63" s="63"/>
      <c r="V63" s="64">
        <v>0</v>
      </c>
      <c r="W63" s="64"/>
      <c r="X63" s="200">
        <v>0</v>
      </c>
      <c r="Y63" s="155"/>
      <c r="Z63" s="63"/>
      <c r="AA63" s="64">
        <v>0</v>
      </c>
      <c r="AB63" s="64"/>
      <c r="AC63" s="200">
        <v>0</v>
      </c>
      <c r="AD63" s="156"/>
      <c r="AE63" s="153"/>
      <c r="AF63" s="140">
        <v>2</v>
      </c>
      <c r="AG63" s="140"/>
      <c r="AH63" s="200">
        <v>3.8999999999999998E-3</v>
      </c>
      <c r="AI63" s="140"/>
      <c r="AJ63" s="153"/>
      <c r="AK63" s="140">
        <v>0</v>
      </c>
      <c r="AL63" s="140"/>
      <c r="AM63" s="200">
        <v>0</v>
      </c>
      <c r="AN63" s="156"/>
      <c r="AO63" s="230">
        <v>3.8999999999999998E-3</v>
      </c>
      <c r="AP63" s="223">
        <v>211</v>
      </c>
      <c r="AQ63" s="223">
        <v>173</v>
      </c>
      <c r="AR63" s="235">
        <v>0.82</v>
      </c>
      <c r="AS63" s="223">
        <v>160</v>
      </c>
      <c r="AT63" s="235">
        <v>0.75800000000000001</v>
      </c>
      <c r="AU63" s="223">
        <v>153</v>
      </c>
      <c r="AV63" s="232">
        <v>0.72499999999999998</v>
      </c>
      <c r="AW63" s="223">
        <v>131</v>
      </c>
      <c r="AX63" s="223">
        <v>127</v>
      </c>
      <c r="AY63" s="235">
        <v>0.96899999999999997</v>
      </c>
      <c r="AZ63" s="223">
        <v>121</v>
      </c>
      <c r="BA63" s="235">
        <v>0.92400000000000004</v>
      </c>
      <c r="BB63" s="223">
        <v>120</v>
      </c>
      <c r="BC63" s="232">
        <v>0.91600000000000004</v>
      </c>
    </row>
    <row r="64" spans="1:55" x14ac:dyDescent="0.25">
      <c r="A64" s="226">
        <v>1</v>
      </c>
      <c r="B64" s="211" t="s">
        <v>117</v>
      </c>
      <c r="C64" s="211">
        <v>394</v>
      </c>
      <c r="D64" s="211" t="s">
        <v>240</v>
      </c>
      <c r="E64" s="211">
        <v>421</v>
      </c>
      <c r="F64" s="211">
        <v>421</v>
      </c>
      <c r="G64" s="211"/>
      <c r="H64" s="220" t="str">
        <f>HYPERLINK("https://map.geo.admin.ch/?zoom=7&amp;E=597100&amp;N=214600&amp;layers=ch.kantone.cadastralwebmap-farbe,ch.swisstopo.amtliches-strassenverzeichnis,ch.bfs.gebaeude_wohnungs_register,KML||https://tinyurl.com/yy7ya4g9/BE/0394_bdg_erw.kml","KML building")</f>
        <v>KML building</v>
      </c>
      <c r="I64" s="154">
        <v>1</v>
      </c>
      <c r="J64" s="243" t="s">
        <v>1025</v>
      </c>
      <c r="K64" s="153">
        <v>2.3752969121140144E-3</v>
      </c>
      <c r="L64" s="64">
        <v>0</v>
      </c>
      <c r="M64" s="64"/>
      <c r="N64" s="200">
        <v>0</v>
      </c>
      <c r="O64" s="155"/>
      <c r="P64" s="63"/>
      <c r="Q64" s="64">
        <v>0</v>
      </c>
      <c r="R64" s="64"/>
      <c r="S64" s="200">
        <v>0</v>
      </c>
      <c r="T64" s="155"/>
      <c r="U64" s="63"/>
      <c r="V64" s="64">
        <v>0</v>
      </c>
      <c r="W64" s="64"/>
      <c r="X64" s="200">
        <v>0</v>
      </c>
      <c r="Y64" s="155"/>
      <c r="Z64" s="63"/>
      <c r="AA64" s="64">
        <v>1</v>
      </c>
      <c r="AB64" s="64"/>
      <c r="AC64" s="200">
        <v>2.3999999999999998E-3</v>
      </c>
      <c r="AD64" s="156"/>
      <c r="AE64" s="153"/>
      <c r="AF64" s="140">
        <v>0</v>
      </c>
      <c r="AG64" s="140"/>
      <c r="AH64" s="200">
        <v>0</v>
      </c>
      <c r="AI64" s="140"/>
      <c r="AJ64" s="153"/>
      <c r="AK64" s="140">
        <v>0</v>
      </c>
      <c r="AL64" s="140"/>
      <c r="AM64" s="200">
        <v>0</v>
      </c>
      <c r="AN64" s="156"/>
      <c r="AO64" s="230">
        <v>2.3999999999999998E-3</v>
      </c>
      <c r="AP64" s="223">
        <v>179</v>
      </c>
      <c r="AQ64" s="223">
        <v>152</v>
      </c>
      <c r="AR64" s="235">
        <v>0.84899999999999998</v>
      </c>
      <c r="AS64" s="223">
        <v>146</v>
      </c>
      <c r="AT64" s="235">
        <v>0.81599999999999995</v>
      </c>
      <c r="AU64" s="223">
        <v>142</v>
      </c>
      <c r="AV64" s="232">
        <v>0.79300000000000004</v>
      </c>
      <c r="AW64" s="223">
        <v>126</v>
      </c>
      <c r="AX64" s="223">
        <v>116</v>
      </c>
      <c r="AY64" s="235">
        <v>0.92100000000000004</v>
      </c>
      <c r="AZ64" s="223">
        <v>112</v>
      </c>
      <c r="BA64" s="235">
        <v>0.88900000000000001</v>
      </c>
      <c r="BB64" s="223">
        <v>110</v>
      </c>
      <c r="BC64" s="232">
        <v>0.873</v>
      </c>
    </row>
    <row r="65" spans="1:55" x14ac:dyDescent="0.25">
      <c r="A65" s="226">
        <v>1</v>
      </c>
      <c r="B65" s="211" t="s">
        <v>117</v>
      </c>
      <c r="C65" s="211">
        <v>401</v>
      </c>
      <c r="D65" s="211" t="s">
        <v>241</v>
      </c>
      <c r="E65" s="211">
        <v>613</v>
      </c>
      <c r="F65" s="211">
        <v>615</v>
      </c>
      <c r="G65" s="211"/>
      <c r="H65" s="220" t="str">
        <f>HYPERLINK("https://map.geo.admin.ch/?zoom=7&amp;E=609000&amp;N=216000&amp;layers=ch.kantone.cadastralwebmap-farbe,ch.swisstopo.amtliches-strassenverzeichnis,ch.bfs.gebaeude_wohnungs_register,KML||https://tinyurl.com/yy7ya4g9/BE/0401_bdg_erw.kml","KML building")</f>
        <v>KML building</v>
      </c>
      <c r="I65" s="154">
        <v>1</v>
      </c>
      <c r="J65" s="243" t="s">
        <v>1026</v>
      </c>
      <c r="K65" s="153">
        <v>1.6313213703099511E-3</v>
      </c>
      <c r="L65" s="64">
        <v>0</v>
      </c>
      <c r="M65" s="64"/>
      <c r="N65" s="200">
        <v>0</v>
      </c>
      <c r="O65" s="155"/>
      <c r="P65" s="63"/>
      <c r="Q65" s="64">
        <v>0</v>
      </c>
      <c r="R65" s="64"/>
      <c r="S65" s="200">
        <v>0</v>
      </c>
      <c r="T65" s="155"/>
      <c r="U65" s="63"/>
      <c r="V65" s="64">
        <v>0</v>
      </c>
      <c r="W65" s="64"/>
      <c r="X65" s="200">
        <v>0</v>
      </c>
      <c r="Y65" s="155"/>
      <c r="Z65" s="63"/>
      <c r="AA65" s="64">
        <v>0</v>
      </c>
      <c r="AB65" s="64"/>
      <c r="AC65" s="200">
        <v>0</v>
      </c>
      <c r="AD65" s="156"/>
      <c r="AE65" s="153"/>
      <c r="AF65" s="140">
        <v>0</v>
      </c>
      <c r="AG65" s="140"/>
      <c r="AH65" s="200">
        <v>0</v>
      </c>
      <c r="AI65" s="140"/>
      <c r="AJ65" s="153"/>
      <c r="AK65" s="140">
        <v>0</v>
      </c>
      <c r="AL65" s="140"/>
      <c r="AM65" s="200">
        <v>0</v>
      </c>
      <c r="AN65" s="156"/>
      <c r="AO65" s="230">
        <v>0</v>
      </c>
      <c r="AP65" s="223">
        <v>222</v>
      </c>
      <c r="AQ65" s="223">
        <v>197</v>
      </c>
      <c r="AR65" s="235">
        <v>0.88700000000000001</v>
      </c>
      <c r="AS65" s="223">
        <v>177</v>
      </c>
      <c r="AT65" s="235">
        <v>0.79700000000000004</v>
      </c>
      <c r="AU65" s="223">
        <v>177</v>
      </c>
      <c r="AV65" s="232">
        <v>0.79700000000000004</v>
      </c>
      <c r="AW65" s="223">
        <v>114</v>
      </c>
      <c r="AX65" s="223">
        <v>102</v>
      </c>
      <c r="AY65" s="235">
        <v>0.89500000000000002</v>
      </c>
      <c r="AZ65" s="223">
        <v>93</v>
      </c>
      <c r="BA65" s="235">
        <v>0.81599999999999995</v>
      </c>
      <c r="BB65" s="223">
        <v>93</v>
      </c>
      <c r="BC65" s="232">
        <v>0.81599999999999995</v>
      </c>
    </row>
    <row r="66" spans="1:55" x14ac:dyDescent="0.25">
      <c r="A66" s="226">
        <v>1</v>
      </c>
      <c r="B66" s="211" t="s">
        <v>117</v>
      </c>
      <c r="C66" s="211">
        <v>402</v>
      </c>
      <c r="D66" s="211" t="s">
        <v>242</v>
      </c>
      <c r="E66" s="211">
        <v>394</v>
      </c>
      <c r="F66" s="211">
        <v>395</v>
      </c>
      <c r="G66" s="211"/>
      <c r="H66" s="220" t="str">
        <f>HYPERLINK("https://map.geo.admin.ch/?zoom=7&amp;E=615500&amp;N=219200&amp;layers=ch.kantone.cadastralwebmap-farbe,ch.swisstopo.amtliches-strassenverzeichnis,ch.bfs.gebaeude_wohnungs_register,KML||https://tinyurl.com/yy7ya4g9/BE/0402_bdg_erw.kml","KML building")</f>
        <v>KML building</v>
      </c>
      <c r="I66" s="154">
        <v>0</v>
      </c>
      <c r="J66" s="243" t="s">
        <v>1027</v>
      </c>
      <c r="K66" s="153">
        <v>0</v>
      </c>
      <c r="L66" s="64">
        <v>0</v>
      </c>
      <c r="M66" s="64"/>
      <c r="N66" s="200">
        <v>0</v>
      </c>
      <c r="O66" s="155"/>
      <c r="P66" s="63"/>
      <c r="Q66" s="64">
        <v>0</v>
      </c>
      <c r="R66" s="64"/>
      <c r="S66" s="200">
        <v>0</v>
      </c>
      <c r="T66" s="155"/>
      <c r="U66" s="63"/>
      <c r="V66" s="64">
        <v>0</v>
      </c>
      <c r="W66" s="64"/>
      <c r="X66" s="200">
        <v>0</v>
      </c>
      <c r="Y66" s="155"/>
      <c r="Z66" s="63"/>
      <c r="AA66" s="64">
        <v>0</v>
      </c>
      <c r="AB66" s="64"/>
      <c r="AC66" s="200">
        <v>0</v>
      </c>
      <c r="AD66" s="156"/>
      <c r="AE66" s="153"/>
      <c r="AF66" s="140">
        <v>1</v>
      </c>
      <c r="AG66" s="140"/>
      <c r="AH66" s="200">
        <v>2.5000000000000001E-3</v>
      </c>
      <c r="AI66" s="140"/>
      <c r="AJ66" s="153"/>
      <c r="AK66" s="140">
        <v>1</v>
      </c>
      <c r="AL66" s="140"/>
      <c r="AM66" s="200">
        <v>2.5000000000000001E-3</v>
      </c>
      <c r="AN66" s="156"/>
      <c r="AO66" s="230">
        <v>5.0000000000000001E-3</v>
      </c>
      <c r="AP66" s="223">
        <v>182</v>
      </c>
      <c r="AQ66" s="223">
        <v>151</v>
      </c>
      <c r="AR66" s="235">
        <v>0.83</v>
      </c>
      <c r="AS66" s="223">
        <v>136</v>
      </c>
      <c r="AT66" s="235">
        <v>0.747</v>
      </c>
      <c r="AU66" s="223">
        <v>135</v>
      </c>
      <c r="AV66" s="232">
        <v>0.74199999999999999</v>
      </c>
      <c r="AW66" s="223">
        <v>120</v>
      </c>
      <c r="AX66" s="223">
        <v>110</v>
      </c>
      <c r="AY66" s="235">
        <v>0.91700000000000004</v>
      </c>
      <c r="AZ66" s="223">
        <v>98</v>
      </c>
      <c r="BA66" s="235">
        <v>0.81699999999999995</v>
      </c>
      <c r="BB66" s="223">
        <v>97</v>
      </c>
      <c r="BC66" s="232">
        <v>0.80800000000000005</v>
      </c>
    </row>
    <row r="67" spans="1:55" x14ac:dyDescent="0.25">
      <c r="A67" s="226">
        <v>1</v>
      </c>
      <c r="B67" s="211" t="s">
        <v>117</v>
      </c>
      <c r="C67" s="211">
        <v>403</v>
      </c>
      <c r="D67" s="211" t="s">
        <v>243</v>
      </c>
      <c r="E67" s="211">
        <v>574</v>
      </c>
      <c r="F67" s="211">
        <v>575</v>
      </c>
      <c r="G67" s="211"/>
      <c r="H67" s="220" t="str">
        <f>HYPERLINK("https://map.geo.admin.ch/?zoom=7&amp;E=606700&amp;N=207600&amp;layers=ch.kantone.cadastralwebmap-farbe,ch.swisstopo.amtliches-strassenverzeichnis,ch.bfs.gebaeude_wohnungs_register,KML||https://tinyurl.com/yy7ya4g9/BE/0403_bdg_erw.kml","KML building")</f>
        <v>KML building</v>
      </c>
      <c r="I67" s="154">
        <v>0</v>
      </c>
      <c r="J67" s="243" t="s">
        <v>1028</v>
      </c>
      <c r="K67" s="153">
        <v>0</v>
      </c>
      <c r="L67" s="64">
        <v>0</v>
      </c>
      <c r="M67" s="64"/>
      <c r="N67" s="200">
        <v>0</v>
      </c>
      <c r="O67" s="155"/>
      <c r="P67" s="63"/>
      <c r="Q67" s="64">
        <v>0</v>
      </c>
      <c r="R67" s="64"/>
      <c r="S67" s="200">
        <v>0</v>
      </c>
      <c r="T67" s="155"/>
      <c r="U67" s="63"/>
      <c r="V67" s="64">
        <v>0</v>
      </c>
      <c r="W67" s="64"/>
      <c r="X67" s="200">
        <v>0</v>
      </c>
      <c r="Y67" s="155"/>
      <c r="Z67" s="63"/>
      <c r="AA67" s="64">
        <v>0</v>
      </c>
      <c r="AB67" s="64"/>
      <c r="AC67" s="200">
        <v>0</v>
      </c>
      <c r="AD67" s="156"/>
      <c r="AE67" s="153"/>
      <c r="AF67" s="140">
        <v>0</v>
      </c>
      <c r="AG67" s="140"/>
      <c r="AH67" s="200">
        <v>0</v>
      </c>
      <c r="AI67" s="140"/>
      <c r="AJ67" s="153"/>
      <c r="AK67" s="140">
        <v>1</v>
      </c>
      <c r="AL67" s="140"/>
      <c r="AM67" s="200">
        <v>1.6999999999999999E-3</v>
      </c>
      <c r="AN67" s="156"/>
      <c r="AO67" s="230">
        <v>1.6999999999999999E-3</v>
      </c>
      <c r="AP67" s="223">
        <v>156</v>
      </c>
      <c r="AQ67" s="223">
        <v>133</v>
      </c>
      <c r="AR67" s="235">
        <v>0.85299999999999998</v>
      </c>
      <c r="AS67" s="223">
        <v>125</v>
      </c>
      <c r="AT67" s="235">
        <v>0.80100000000000005</v>
      </c>
      <c r="AU67" s="223">
        <v>124</v>
      </c>
      <c r="AV67" s="232">
        <v>0.79500000000000004</v>
      </c>
      <c r="AW67" s="223">
        <v>84</v>
      </c>
      <c r="AX67" s="223">
        <v>82</v>
      </c>
      <c r="AY67" s="235">
        <v>0.97599999999999998</v>
      </c>
      <c r="AZ67" s="223">
        <v>79</v>
      </c>
      <c r="BA67" s="235">
        <v>0.94</v>
      </c>
      <c r="BB67" s="223">
        <v>78</v>
      </c>
      <c r="BC67" s="232">
        <v>0.92900000000000005</v>
      </c>
    </row>
    <row r="68" spans="1:55" x14ac:dyDescent="0.25">
      <c r="A68" s="226">
        <v>1</v>
      </c>
      <c r="B68" s="211" t="s">
        <v>117</v>
      </c>
      <c r="C68" s="211">
        <v>404</v>
      </c>
      <c r="D68" s="211" t="s">
        <v>244</v>
      </c>
      <c r="E68" s="211">
        <v>5098</v>
      </c>
      <c r="F68" s="211">
        <v>5199</v>
      </c>
      <c r="G68" s="211"/>
      <c r="H68" s="220" t="str">
        <f>HYPERLINK("https://map.geo.admin.ch/?zoom=7&amp;E=614000&amp;N=211700&amp;layers=ch.kantone.cadastralwebmap-farbe,ch.swisstopo.amtliches-strassenverzeichnis,ch.bfs.gebaeude_wohnungs_register,KML||https://tinyurl.com/yy7ya4g9/BE/0404_bdg_erw.kml","KML building")</f>
        <v>KML building</v>
      </c>
      <c r="I68" s="154">
        <v>4</v>
      </c>
      <c r="J68" s="243" t="s">
        <v>1029</v>
      </c>
      <c r="K68" s="153">
        <v>7.8462142016477048E-4</v>
      </c>
      <c r="L68" s="64">
        <v>0</v>
      </c>
      <c r="M68" s="64"/>
      <c r="N68" s="200">
        <v>0</v>
      </c>
      <c r="O68" s="155"/>
      <c r="P68" s="63"/>
      <c r="Q68" s="64">
        <v>0</v>
      </c>
      <c r="R68" s="64"/>
      <c r="S68" s="200">
        <v>0</v>
      </c>
      <c r="T68" s="155"/>
      <c r="U68" s="63"/>
      <c r="V68" s="64">
        <v>0</v>
      </c>
      <c r="W68" s="64"/>
      <c r="X68" s="200">
        <v>0</v>
      </c>
      <c r="Y68" s="155"/>
      <c r="Z68" s="63"/>
      <c r="AA68" s="64">
        <v>3</v>
      </c>
      <c r="AB68" s="64"/>
      <c r="AC68" s="200">
        <v>5.9999999999999995E-4</v>
      </c>
      <c r="AD68" s="156"/>
      <c r="AE68" s="153"/>
      <c r="AF68" s="140">
        <v>27</v>
      </c>
      <c r="AG68" s="140"/>
      <c r="AH68" s="200">
        <v>5.3E-3</v>
      </c>
      <c r="AI68" s="140"/>
      <c r="AJ68" s="153"/>
      <c r="AK68" s="140">
        <v>14</v>
      </c>
      <c r="AL68" s="140"/>
      <c r="AM68" s="200">
        <v>2.7000000000000001E-3</v>
      </c>
      <c r="AN68" s="156"/>
      <c r="AO68" s="230">
        <v>8.6E-3</v>
      </c>
      <c r="AP68" s="223">
        <v>1733</v>
      </c>
      <c r="AQ68" s="223">
        <v>1471</v>
      </c>
      <c r="AR68" s="235">
        <v>0.84899999999999998</v>
      </c>
      <c r="AS68" s="223">
        <v>1553</v>
      </c>
      <c r="AT68" s="235">
        <v>0.89600000000000002</v>
      </c>
      <c r="AU68" s="223">
        <v>1386</v>
      </c>
      <c r="AV68" s="232">
        <v>0.8</v>
      </c>
      <c r="AW68" s="223">
        <v>1008</v>
      </c>
      <c r="AX68" s="223">
        <v>882</v>
      </c>
      <c r="AY68" s="235">
        <v>0.875</v>
      </c>
      <c r="AZ68" s="223">
        <v>962</v>
      </c>
      <c r="BA68" s="235">
        <v>0.95399999999999996</v>
      </c>
      <c r="BB68" s="223">
        <v>840</v>
      </c>
      <c r="BC68" s="232">
        <v>0.83299999999999996</v>
      </c>
    </row>
    <row r="69" spans="1:55" x14ac:dyDescent="0.25">
      <c r="A69" s="226">
        <v>1</v>
      </c>
      <c r="B69" s="211" t="s">
        <v>117</v>
      </c>
      <c r="C69" s="211">
        <v>405</v>
      </c>
      <c r="D69" s="211" t="s">
        <v>245</v>
      </c>
      <c r="E69" s="211">
        <v>1193</v>
      </c>
      <c r="F69" s="211">
        <v>1194</v>
      </c>
      <c r="G69" s="211"/>
      <c r="H69" s="220" t="str">
        <f>HYPERLINK("https://map.geo.admin.ch/?zoom=7&amp;E=612000&amp;N=216000&amp;layers=ch.kantone.cadastralwebmap-farbe,ch.swisstopo.amtliches-strassenverzeichnis,ch.bfs.gebaeude_wohnungs_register,KML||https://tinyurl.com/yy7ya4g9/BE/0405_bdg_erw.kml","KML building")</f>
        <v>KML building</v>
      </c>
      <c r="I69" s="154">
        <v>0</v>
      </c>
      <c r="J69" s="243" t="s">
        <v>1030</v>
      </c>
      <c r="K69" s="153">
        <v>0</v>
      </c>
      <c r="L69" s="64">
        <v>0</v>
      </c>
      <c r="M69" s="64"/>
      <c r="N69" s="200">
        <v>0</v>
      </c>
      <c r="O69" s="155"/>
      <c r="P69" s="63"/>
      <c r="Q69" s="64">
        <v>0</v>
      </c>
      <c r="R69" s="64"/>
      <c r="S69" s="200">
        <v>0</v>
      </c>
      <c r="T69" s="155"/>
      <c r="U69" s="63"/>
      <c r="V69" s="64">
        <v>0</v>
      </c>
      <c r="W69" s="64"/>
      <c r="X69" s="200">
        <v>0</v>
      </c>
      <c r="Y69" s="155"/>
      <c r="Z69" s="63"/>
      <c r="AA69" s="64">
        <v>0</v>
      </c>
      <c r="AB69" s="64"/>
      <c r="AC69" s="200">
        <v>0</v>
      </c>
      <c r="AD69" s="156"/>
      <c r="AE69" s="153"/>
      <c r="AF69" s="140">
        <v>0</v>
      </c>
      <c r="AG69" s="140"/>
      <c r="AH69" s="200">
        <v>0</v>
      </c>
      <c r="AI69" s="140"/>
      <c r="AJ69" s="153"/>
      <c r="AK69" s="140">
        <v>0</v>
      </c>
      <c r="AL69" s="140"/>
      <c r="AM69" s="200">
        <v>0</v>
      </c>
      <c r="AN69" s="156"/>
      <c r="AO69" s="230">
        <v>0</v>
      </c>
      <c r="AP69" s="223">
        <v>474</v>
      </c>
      <c r="AQ69" s="223">
        <v>405</v>
      </c>
      <c r="AR69" s="235">
        <v>0.85399999999999998</v>
      </c>
      <c r="AS69" s="223">
        <v>384</v>
      </c>
      <c r="AT69" s="235">
        <v>0.81</v>
      </c>
      <c r="AU69" s="223">
        <v>366</v>
      </c>
      <c r="AV69" s="232">
        <v>0.77200000000000002</v>
      </c>
      <c r="AW69" s="223">
        <v>286</v>
      </c>
      <c r="AX69" s="223">
        <v>280</v>
      </c>
      <c r="AY69" s="235">
        <v>0.97899999999999998</v>
      </c>
      <c r="AZ69" s="223">
        <v>262</v>
      </c>
      <c r="BA69" s="235">
        <v>0.91600000000000004</v>
      </c>
      <c r="BB69" s="223">
        <v>261</v>
      </c>
      <c r="BC69" s="232">
        <v>0.91300000000000003</v>
      </c>
    </row>
    <row r="70" spans="1:55" x14ac:dyDescent="0.25">
      <c r="A70" s="226">
        <v>1</v>
      </c>
      <c r="B70" s="211" t="s">
        <v>117</v>
      </c>
      <c r="C70" s="211">
        <v>406</v>
      </c>
      <c r="D70" s="211" t="s">
        <v>246</v>
      </c>
      <c r="E70" s="211">
        <v>2098</v>
      </c>
      <c r="F70" s="211">
        <v>2104</v>
      </c>
      <c r="G70" s="211"/>
      <c r="H70" s="220" t="str">
        <f>HYPERLINK("https://map.geo.admin.ch/?zoom=7&amp;E=616500&amp;N=207300&amp;layers=ch.kantone.cadastralwebmap-farbe,ch.swisstopo.amtliches-strassenverzeichnis,ch.bfs.gebaeude_wohnungs_register,KML||https://tinyurl.com/yy7ya4g9/BE/0406_bdg_erw.kml","KML building")</f>
        <v>KML building</v>
      </c>
      <c r="I70" s="154">
        <v>1</v>
      </c>
      <c r="J70" s="243" t="s">
        <v>1031</v>
      </c>
      <c r="K70" s="153">
        <v>4.7664442326024784E-4</v>
      </c>
      <c r="L70" s="64">
        <v>0</v>
      </c>
      <c r="M70" s="64"/>
      <c r="N70" s="200">
        <v>0</v>
      </c>
      <c r="O70" s="155"/>
      <c r="P70" s="63"/>
      <c r="Q70" s="64">
        <v>0</v>
      </c>
      <c r="R70" s="64"/>
      <c r="S70" s="200">
        <v>0</v>
      </c>
      <c r="T70" s="155"/>
      <c r="U70" s="63"/>
      <c r="V70" s="64">
        <v>0</v>
      </c>
      <c r="W70" s="64"/>
      <c r="X70" s="200">
        <v>0</v>
      </c>
      <c r="Y70" s="155"/>
      <c r="Z70" s="63"/>
      <c r="AA70" s="64">
        <v>0</v>
      </c>
      <c r="AB70" s="64"/>
      <c r="AC70" s="200">
        <v>0</v>
      </c>
      <c r="AD70" s="156"/>
      <c r="AE70" s="153"/>
      <c r="AF70" s="140">
        <v>0</v>
      </c>
      <c r="AG70" s="140"/>
      <c r="AH70" s="200">
        <v>0</v>
      </c>
      <c r="AI70" s="140"/>
      <c r="AJ70" s="153"/>
      <c r="AK70" s="140">
        <v>0</v>
      </c>
      <c r="AL70" s="140"/>
      <c r="AM70" s="200">
        <v>0</v>
      </c>
      <c r="AN70" s="156"/>
      <c r="AO70" s="230">
        <v>0</v>
      </c>
      <c r="AP70" s="223">
        <v>1038</v>
      </c>
      <c r="AQ70" s="223">
        <v>857</v>
      </c>
      <c r="AR70" s="235">
        <v>0.82599999999999996</v>
      </c>
      <c r="AS70" s="223">
        <v>704</v>
      </c>
      <c r="AT70" s="235">
        <v>0.67800000000000005</v>
      </c>
      <c r="AU70" s="223">
        <v>689</v>
      </c>
      <c r="AV70" s="232">
        <v>0.66400000000000003</v>
      </c>
      <c r="AW70" s="223">
        <v>533</v>
      </c>
      <c r="AX70" s="223">
        <v>516</v>
      </c>
      <c r="AY70" s="235">
        <v>0.96799999999999997</v>
      </c>
      <c r="AZ70" s="223">
        <v>466</v>
      </c>
      <c r="BA70" s="235">
        <v>0.874</v>
      </c>
      <c r="BB70" s="223">
        <v>459</v>
      </c>
      <c r="BC70" s="232">
        <v>0.86099999999999999</v>
      </c>
    </row>
    <row r="71" spans="1:55" x14ac:dyDescent="0.25">
      <c r="A71" s="226">
        <v>1</v>
      </c>
      <c r="B71" s="211" t="s">
        <v>117</v>
      </c>
      <c r="C71" s="211">
        <v>407</v>
      </c>
      <c r="D71" s="211" t="s">
        <v>247</v>
      </c>
      <c r="E71" s="211">
        <v>1411</v>
      </c>
      <c r="F71" s="211">
        <v>1415</v>
      </c>
      <c r="G71" s="211"/>
      <c r="H71" s="220" t="str">
        <f>HYPERLINK("https://map.geo.admin.ch/?zoom=7&amp;E=616800&amp;N=212700&amp;layers=ch.kantone.cadastralwebmap-farbe,ch.swisstopo.amtliches-strassenverzeichnis,ch.bfs.gebaeude_wohnungs_register,KML||https://tinyurl.com/yy7ya4g9/BE/0407_bdg_erw.kml","KML building")</f>
        <v>KML building</v>
      </c>
      <c r="I71" s="154">
        <v>1</v>
      </c>
      <c r="J71" s="243" t="s">
        <v>1032</v>
      </c>
      <c r="K71" s="153">
        <v>7.0871722182849046E-4</v>
      </c>
      <c r="L71" s="64">
        <v>0</v>
      </c>
      <c r="M71" s="64"/>
      <c r="N71" s="200">
        <v>0</v>
      </c>
      <c r="O71" s="155"/>
      <c r="P71" s="63"/>
      <c r="Q71" s="64">
        <v>0</v>
      </c>
      <c r="R71" s="64"/>
      <c r="S71" s="200">
        <v>0</v>
      </c>
      <c r="T71" s="155"/>
      <c r="U71" s="63"/>
      <c r="V71" s="64">
        <v>0</v>
      </c>
      <c r="W71" s="64"/>
      <c r="X71" s="200">
        <v>0</v>
      </c>
      <c r="Y71" s="155"/>
      <c r="Z71" s="63"/>
      <c r="AA71" s="64">
        <v>0</v>
      </c>
      <c r="AB71" s="64"/>
      <c r="AC71" s="200">
        <v>0</v>
      </c>
      <c r="AD71" s="156"/>
      <c r="AE71" s="153"/>
      <c r="AF71" s="140">
        <v>1</v>
      </c>
      <c r="AG71" s="140"/>
      <c r="AH71" s="200">
        <v>6.9999999999999999E-4</v>
      </c>
      <c r="AI71" s="140"/>
      <c r="AJ71" s="153"/>
      <c r="AK71" s="140">
        <v>0</v>
      </c>
      <c r="AL71" s="140"/>
      <c r="AM71" s="200">
        <v>0</v>
      </c>
      <c r="AN71" s="156"/>
      <c r="AO71" s="230">
        <v>6.9999999999999999E-4</v>
      </c>
      <c r="AP71" s="223">
        <v>792</v>
      </c>
      <c r="AQ71" s="223">
        <v>665</v>
      </c>
      <c r="AR71" s="235">
        <v>0.84</v>
      </c>
      <c r="AS71" s="223">
        <v>537</v>
      </c>
      <c r="AT71" s="235">
        <v>0.67800000000000005</v>
      </c>
      <c r="AU71" s="223">
        <v>530</v>
      </c>
      <c r="AV71" s="232">
        <v>0.66900000000000004</v>
      </c>
      <c r="AW71" s="223">
        <v>408</v>
      </c>
      <c r="AX71" s="223">
        <v>398</v>
      </c>
      <c r="AY71" s="235">
        <v>0.97499999999999998</v>
      </c>
      <c r="AZ71" s="223">
        <v>369</v>
      </c>
      <c r="BA71" s="235">
        <v>0.90400000000000003</v>
      </c>
      <c r="BB71" s="223">
        <v>365</v>
      </c>
      <c r="BC71" s="232">
        <v>0.89500000000000002</v>
      </c>
    </row>
    <row r="72" spans="1:55" x14ac:dyDescent="0.25">
      <c r="A72" s="226">
        <v>1</v>
      </c>
      <c r="B72" s="211" t="s">
        <v>117</v>
      </c>
      <c r="C72" s="211">
        <v>408</v>
      </c>
      <c r="D72" s="211" t="s">
        <v>248</v>
      </c>
      <c r="E72" s="211">
        <v>152</v>
      </c>
      <c r="F72" s="211">
        <v>153</v>
      </c>
      <c r="G72" s="211"/>
      <c r="H72" s="220" t="str">
        <f>HYPERLINK("https://map.geo.admin.ch/?zoom=7&amp;E=615900&amp;N=221700&amp;layers=ch.kantone.cadastralwebmap-farbe,ch.swisstopo.amtliches-strassenverzeichnis,ch.bfs.gebaeude_wohnungs_register,KML||https://tinyurl.com/yy7ya4g9/BE/0408_bdg_erw.kml","KML building")</f>
        <v>KML building</v>
      </c>
      <c r="I72" s="154">
        <v>0</v>
      </c>
      <c r="J72" s="243" t="s">
        <v>1033</v>
      </c>
      <c r="K72" s="153">
        <v>0</v>
      </c>
      <c r="L72" s="64">
        <v>0</v>
      </c>
      <c r="M72" s="64"/>
      <c r="N72" s="200">
        <v>0</v>
      </c>
      <c r="O72" s="155"/>
      <c r="P72" s="63"/>
      <c r="Q72" s="64">
        <v>0</v>
      </c>
      <c r="R72" s="64"/>
      <c r="S72" s="200">
        <v>0</v>
      </c>
      <c r="T72" s="155"/>
      <c r="U72" s="63"/>
      <c r="V72" s="64">
        <v>0</v>
      </c>
      <c r="W72" s="64"/>
      <c r="X72" s="200">
        <v>0</v>
      </c>
      <c r="Y72" s="155"/>
      <c r="Z72" s="63"/>
      <c r="AA72" s="64">
        <v>0</v>
      </c>
      <c r="AB72" s="64"/>
      <c r="AC72" s="200">
        <v>0</v>
      </c>
      <c r="AD72" s="156"/>
      <c r="AE72" s="153"/>
      <c r="AF72" s="140">
        <v>3</v>
      </c>
      <c r="AG72" s="140"/>
      <c r="AH72" s="200">
        <v>1.9699999999999999E-2</v>
      </c>
      <c r="AI72" s="140"/>
      <c r="AJ72" s="153"/>
      <c r="AK72" s="140">
        <v>0</v>
      </c>
      <c r="AL72" s="140"/>
      <c r="AM72" s="200">
        <v>0</v>
      </c>
      <c r="AN72" s="156"/>
      <c r="AO72" s="230">
        <v>1.9699999999999999E-2</v>
      </c>
      <c r="AP72" s="223">
        <v>75</v>
      </c>
      <c r="AQ72" s="223">
        <v>73</v>
      </c>
      <c r="AR72" s="235">
        <v>0.97299999999999998</v>
      </c>
      <c r="AS72" s="223">
        <v>68</v>
      </c>
      <c r="AT72" s="235">
        <v>0.90700000000000003</v>
      </c>
      <c r="AU72" s="223">
        <v>68</v>
      </c>
      <c r="AV72" s="232">
        <v>0.90700000000000003</v>
      </c>
      <c r="AW72" s="223">
        <v>53</v>
      </c>
      <c r="AX72" s="223">
        <v>51</v>
      </c>
      <c r="AY72" s="235">
        <v>0.96199999999999997</v>
      </c>
      <c r="AZ72" s="223">
        <v>48</v>
      </c>
      <c r="BA72" s="235">
        <v>0.90600000000000003</v>
      </c>
      <c r="BB72" s="223">
        <v>48</v>
      </c>
      <c r="BC72" s="232">
        <v>0.90600000000000003</v>
      </c>
    </row>
    <row r="73" spans="1:55" x14ac:dyDescent="0.25">
      <c r="A73" s="226">
        <v>1</v>
      </c>
      <c r="B73" s="211" t="s">
        <v>117</v>
      </c>
      <c r="C73" s="211">
        <v>409</v>
      </c>
      <c r="D73" s="211" t="s">
        <v>249</v>
      </c>
      <c r="E73" s="211">
        <v>1095</v>
      </c>
      <c r="F73" s="211">
        <v>1167</v>
      </c>
      <c r="G73" s="211"/>
      <c r="H73" s="220" t="str">
        <f>HYPERLINK("https://map.geo.admin.ch/?zoom=7&amp;E=607800&amp;N=210100&amp;layers=ch.kantone.cadastralwebmap-farbe,ch.swisstopo.amtliches-strassenverzeichnis,ch.bfs.gebaeude_wohnungs_register,KML||https://tinyurl.com/yy7ya4g9/BE/0409_bdg_erw.kml","KML building")</f>
        <v>KML building</v>
      </c>
      <c r="I73" s="154">
        <v>1</v>
      </c>
      <c r="J73" s="243" t="s">
        <v>1034</v>
      </c>
      <c r="K73" s="153">
        <v>9.1324200913242006E-4</v>
      </c>
      <c r="L73" s="64">
        <v>0</v>
      </c>
      <c r="M73" s="64"/>
      <c r="N73" s="200">
        <v>0</v>
      </c>
      <c r="O73" s="155"/>
      <c r="P73" s="63"/>
      <c r="Q73" s="64">
        <v>0</v>
      </c>
      <c r="R73" s="64"/>
      <c r="S73" s="200">
        <v>0</v>
      </c>
      <c r="T73" s="155"/>
      <c r="U73" s="63"/>
      <c r="V73" s="64">
        <v>0</v>
      </c>
      <c r="W73" s="64"/>
      <c r="X73" s="200">
        <v>0</v>
      </c>
      <c r="Y73" s="155"/>
      <c r="Z73" s="63"/>
      <c r="AA73" s="64">
        <v>0</v>
      </c>
      <c r="AB73" s="64"/>
      <c r="AC73" s="200">
        <v>0</v>
      </c>
      <c r="AD73" s="156"/>
      <c r="AE73" s="153"/>
      <c r="AF73" s="140">
        <v>1</v>
      </c>
      <c r="AG73" s="140"/>
      <c r="AH73" s="200">
        <v>8.9999999999999998E-4</v>
      </c>
      <c r="AI73" s="140"/>
      <c r="AJ73" s="153"/>
      <c r="AK73" s="140">
        <v>0</v>
      </c>
      <c r="AL73" s="140"/>
      <c r="AM73" s="200">
        <v>0</v>
      </c>
      <c r="AN73" s="156"/>
      <c r="AO73" s="230">
        <v>8.9999999999999998E-4</v>
      </c>
      <c r="AP73" s="223">
        <v>381</v>
      </c>
      <c r="AQ73" s="223">
        <v>303</v>
      </c>
      <c r="AR73" s="235">
        <v>0.79500000000000004</v>
      </c>
      <c r="AS73" s="223">
        <v>289</v>
      </c>
      <c r="AT73" s="235">
        <v>0.75900000000000001</v>
      </c>
      <c r="AU73" s="223">
        <v>287</v>
      </c>
      <c r="AV73" s="232">
        <v>0.753</v>
      </c>
      <c r="AW73" s="223">
        <v>225</v>
      </c>
      <c r="AX73" s="223">
        <v>210</v>
      </c>
      <c r="AY73" s="235">
        <v>0.93300000000000005</v>
      </c>
      <c r="AZ73" s="223">
        <v>204</v>
      </c>
      <c r="BA73" s="235">
        <v>0.90700000000000003</v>
      </c>
      <c r="BB73" s="223">
        <v>202</v>
      </c>
      <c r="BC73" s="232">
        <v>0.89800000000000002</v>
      </c>
    </row>
    <row r="74" spans="1:55" x14ac:dyDescent="0.25">
      <c r="A74" s="226">
        <v>1</v>
      </c>
      <c r="B74" s="211" t="s">
        <v>117</v>
      </c>
      <c r="C74" s="211">
        <v>410</v>
      </c>
      <c r="D74" s="211" t="s">
        <v>250</v>
      </c>
      <c r="E74" s="211">
        <v>203</v>
      </c>
      <c r="F74" s="211">
        <v>204</v>
      </c>
      <c r="G74" s="211"/>
      <c r="H74" s="220" t="str">
        <f>HYPERLINK("https://map.geo.admin.ch/?zoom=7&amp;E=614700&amp;N=221300&amp;layers=ch.kantone.cadastralwebmap-farbe,ch.swisstopo.amtliches-strassenverzeichnis,ch.bfs.gebaeude_wohnungs_register,KML||https://tinyurl.com/yy7ya4g9/BE/0410_bdg_erw.kml","KML building")</f>
        <v>KML building</v>
      </c>
      <c r="I74" s="154">
        <v>0</v>
      </c>
      <c r="J74" s="243" t="s">
        <v>1035</v>
      </c>
      <c r="K74" s="153">
        <v>0</v>
      </c>
      <c r="L74" s="64">
        <v>0</v>
      </c>
      <c r="M74" s="64"/>
      <c r="N74" s="200">
        <v>0</v>
      </c>
      <c r="O74" s="155"/>
      <c r="P74" s="63"/>
      <c r="Q74" s="64">
        <v>0</v>
      </c>
      <c r="R74" s="64"/>
      <c r="S74" s="200">
        <v>0</v>
      </c>
      <c r="T74" s="155"/>
      <c r="U74" s="63"/>
      <c r="V74" s="64">
        <v>0</v>
      </c>
      <c r="W74" s="64"/>
      <c r="X74" s="200">
        <v>0</v>
      </c>
      <c r="Y74" s="155"/>
      <c r="Z74" s="63"/>
      <c r="AA74" s="64">
        <v>0</v>
      </c>
      <c r="AB74" s="64"/>
      <c r="AC74" s="200">
        <v>0</v>
      </c>
      <c r="AD74" s="156"/>
      <c r="AE74" s="153"/>
      <c r="AF74" s="140">
        <v>0</v>
      </c>
      <c r="AG74" s="140"/>
      <c r="AH74" s="200">
        <v>0</v>
      </c>
      <c r="AI74" s="140"/>
      <c r="AJ74" s="153"/>
      <c r="AK74" s="140">
        <v>0</v>
      </c>
      <c r="AL74" s="140"/>
      <c r="AM74" s="200">
        <v>0</v>
      </c>
      <c r="AN74" s="156"/>
      <c r="AO74" s="230">
        <v>0</v>
      </c>
      <c r="AP74" s="223">
        <v>94</v>
      </c>
      <c r="AQ74" s="223">
        <v>85</v>
      </c>
      <c r="AR74" s="235">
        <v>0.90400000000000003</v>
      </c>
      <c r="AS74" s="223">
        <v>73</v>
      </c>
      <c r="AT74" s="235">
        <v>0.77700000000000002</v>
      </c>
      <c r="AU74" s="223">
        <v>72</v>
      </c>
      <c r="AV74" s="232">
        <v>0.76600000000000001</v>
      </c>
      <c r="AW74" s="223">
        <v>55</v>
      </c>
      <c r="AX74" s="223">
        <v>50</v>
      </c>
      <c r="AY74" s="235">
        <v>0.90900000000000003</v>
      </c>
      <c r="AZ74" s="223">
        <v>44</v>
      </c>
      <c r="BA74" s="235">
        <v>0.8</v>
      </c>
      <c r="BB74" s="223">
        <v>43</v>
      </c>
      <c r="BC74" s="232">
        <v>0.78200000000000003</v>
      </c>
    </row>
    <row r="75" spans="1:55" x14ac:dyDescent="0.25">
      <c r="A75" s="226">
        <v>1</v>
      </c>
      <c r="B75" s="211" t="s">
        <v>117</v>
      </c>
      <c r="C75" s="211">
        <v>411</v>
      </c>
      <c r="D75" s="211" t="s">
        <v>251</v>
      </c>
      <c r="E75" s="211">
        <v>296</v>
      </c>
      <c r="F75" s="211">
        <v>296</v>
      </c>
      <c r="G75" s="211"/>
      <c r="H75" s="220" t="str">
        <f>HYPERLINK("https://map.geo.admin.ch/?zoom=7&amp;E=608200&amp;N=213100&amp;layers=ch.kantone.cadastralwebmap-farbe,ch.swisstopo.amtliches-strassenverzeichnis,ch.bfs.gebaeude_wohnungs_register,KML||https://tinyurl.com/yy7ya4g9/BE/0411_bdg_erw.kml","KML building")</f>
        <v>KML building</v>
      </c>
      <c r="I75" s="154">
        <v>0</v>
      </c>
      <c r="J75" s="243" t="s">
        <v>1036</v>
      </c>
      <c r="K75" s="153">
        <v>0</v>
      </c>
      <c r="L75" s="64">
        <v>0</v>
      </c>
      <c r="M75" s="64"/>
      <c r="N75" s="200">
        <v>0</v>
      </c>
      <c r="O75" s="155"/>
      <c r="P75" s="63"/>
      <c r="Q75" s="64">
        <v>0</v>
      </c>
      <c r="R75" s="64"/>
      <c r="S75" s="200">
        <v>0</v>
      </c>
      <c r="T75" s="155"/>
      <c r="U75" s="63"/>
      <c r="V75" s="64">
        <v>0</v>
      </c>
      <c r="W75" s="64"/>
      <c r="X75" s="200">
        <v>0</v>
      </c>
      <c r="Y75" s="155"/>
      <c r="Z75" s="63"/>
      <c r="AA75" s="64">
        <v>0</v>
      </c>
      <c r="AB75" s="64"/>
      <c r="AC75" s="200">
        <v>0</v>
      </c>
      <c r="AD75" s="156"/>
      <c r="AE75" s="153"/>
      <c r="AF75" s="140">
        <v>0</v>
      </c>
      <c r="AG75" s="140"/>
      <c r="AH75" s="200">
        <v>0</v>
      </c>
      <c r="AI75" s="140"/>
      <c r="AJ75" s="153"/>
      <c r="AK75" s="140">
        <v>0</v>
      </c>
      <c r="AL75" s="140"/>
      <c r="AM75" s="200">
        <v>0</v>
      </c>
      <c r="AN75" s="156"/>
      <c r="AO75" s="230">
        <v>0</v>
      </c>
      <c r="AP75" s="223">
        <v>134</v>
      </c>
      <c r="AQ75" s="223">
        <v>114</v>
      </c>
      <c r="AR75" s="235">
        <v>0.85099999999999998</v>
      </c>
      <c r="AS75" s="223">
        <v>113</v>
      </c>
      <c r="AT75" s="235">
        <v>0.84299999999999997</v>
      </c>
      <c r="AU75" s="223">
        <v>111</v>
      </c>
      <c r="AV75" s="232">
        <v>0.82799999999999996</v>
      </c>
      <c r="AW75" s="223">
        <v>87</v>
      </c>
      <c r="AX75" s="223">
        <v>84</v>
      </c>
      <c r="AY75" s="235">
        <v>0.96599999999999997</v>
      </c>
      <c r="AZ75" s="223">
        <v>81</v>
      </c>
      <c r="BA75" s="235">
        <v>0.93100000000000005</v>
      </c>
      <c r="BB75" s="223">
        <v>81</v>
      </c>
      <c r="BC75" s="232">
        <v>0.93100000000000005</v>
      </c>
    </row>
    <row r="76" spans="1:55" x14ac:dyDescent="0.25">
      <c r="A76" s="226">
        <v>1</v>
      </c>
      <c r="B76" s="211" t="s">
        <v>117</v>
      </c>
      <c r="C76" s="211">
        <v>412</v>
      </c>
      <c r="D76" s="211" t="s">
        <v>252</v>
      </c>
      <c r="E76" s="211">
        <v>2205</v>
      </c>
      <c r="F76" s="211">
        <v>2209</v>
      </c>
      <c r="G76" s="211"/>
      <c r="H76" s="220" t="str">
        <f>HYPERLINK("https://map.geo.admin.ch/?zoom=7&amp;E=611000&amp;N=214800&amp;layers=ch.kantone.cadastralwebmap-farbe,ch.swisstopo.amtliches-strassenverzeichnis,ch.bfs.gebaeude_wohnungs_register,KML||https://tinyurl.com/yy7ya4g9/BE/0412_bdg_erw.kml","KML building")</f>
        <v>KML building</v>
      </c>
      <c r="I76" s="154">
        <v>0</v>
      </c>
      <c r="J76" s="243" t="s">
        <v>1037</v>
      </c>
      <c r="K76" s="153">
        <v>0</v>
      </c>
      <c r="L76" s="64">
        <v>0</v>
      </c>
      <c r="M76" s="64"/>
      <c r="N76" s="200">
        <v>0</v>
      </c>
      <c r="O76" s="155"/>
      <c r="P76" s="63"/>
      <c r="Q76" s="64">
        <v>0</v>
      </c>
      <c r="R76" s="64"/>
      <c r="S76" s="200">
        <v>0</v>
      </c>
      <c r="T76" s="155"/>
      <c r="U76" s="63"/>
      <c r="V76" s="64">
        <v>0</v>
      </c>
      <c r="W76" s="64"/>
      <c r="X76" s="200">
        <v>0</v>
      </c>
      <c r="Y76" s="155"/>
      <c r="Z76" s="63"/>
      <c r="AA76" s="64">
        <v>0</v>
      </c>
      <c r="AB76" s="64"/>
      <c r="AC76" s="200">
        <v>0</v>
      </c>
      <c r="AD76" s="156"/>
      <c r="AE76" s="153"/>
      <c r="AF76" s="140">
        <v>5</v>
      </c>
      <c r="AG76" s="140"/>
      <c r="AH76" s="200">
        <v>2.3E-3</v>
      </c>
      <c r="AI76" s="140"/>
      <c r="AJ76" s="153"/>
      <c r="AK76" s="140">
        <v>1</v>
      </c>
      <c r="AL76" s="140"/>
      <c r="AM76" s="200">
        <v>5.0000000000000001E-4</v>
      </c>
      <c r="AN76" s="156"/>
      <c r="AO76" s="230">
        <v>2.8E-3</v>
      </c>
      <c r="AP76" s="223">
        <v>750</v>
      </c>
      <c r="AQ76" s="223">
        <v>611</v>
      </c>
      <c r="AR76" s="235">
        <v>0.81499999999999995</v>
      </c>
      <c r="AS76" s="223">
        <v>574</v>
      </c>
      <c r="AT76" s="235">
        <v>0.76500000000000001</v>
      </c>
      <c r="AU76" s="223">
        <v>535</v>
      </c>
      <c r="AV76" s="232">
        <v>0.71299999999999997</v>
      </c>
      <c r="AW76" s="223">
        <v>455</v>
      </c>
      <c r="AX76" s="223">
        <v>414</v>
      </c>
      <c r="AY76" s="235">
        <v>0.91</v>
      </c>
      <c r="AZ76" s="223">
        <v>372</v>
      </c>
      <c r="BA76" s="235">
        <v>0.81799999999999995</v>
      </c>
      <c r="BB76" s="223">
        <v>366</v>
      </c>
      <c r="BC76" s="232">
        <v>0.80400000000000005</v>
      </c>
    </row>
    <row r="77" spans="1:55" x14ac:dyDescent="0.25">
      <c r="A77" s="226">
        <v>1</v>
      </c>
      <c r="B77" s="211" t="s">
        <v>117</v>
      </c>
      <c r="C77" s="211">
        <v>413</v>
      </c>
      <c r="D77" s="211" t="s">
        <v>253</v>
      </c>
      <c r="E77" s="211">
        <v>1157</v>
      </c>
      <c r="F77" s="211">
        <v>1160</v>
      </c>
      <c r="G77" s="211"/>
      <c r="H77" s="220" t="str">
        <f>HYPERLINK("https://map.geo.admin.ch/?zoom=7&amp;E=612500&amp;N=220200&amp;layers=ch.kantone.cadastralwebmap-farbe,ch.swisstopo.amtliches-strassenverzeichnis,ch.bfs.gebaeude_wohnungs_register,KML||https://tinyurl.com/yy7ya4g9/BE/0413_bdg_erw.kml","KML building")</f>
        <v>KML building</v>
      </c>
      <c r="I77" s="154">
        <v>3</v>
      </c>
      <c r="J77" s="243" t="s">
        <v>1038</v>
      </c>
      <c r="K77" s="153">
        <v>2.5929127052722557E-3</v>
      </c>
      <c r="L77" s="64">
        <v>0</v>
      </c>
      <c r="M77" s="64"/>
      <c r="N77" s="200">
        <v>0</v>
      </c>
      <c r="O77" s="155"/>
      <c r="P77" s="63"/>
      <c r="Q77" s="64">
        <v>0</v>
      </c>
      <c r="R77" s="64"/>
      <c r="S77" s="200">
        <v>0</v>
      </c>
      <c r="T77" s="155"/>
      <c r="U77" s="63"/>
      <c r="V77" s="64">
        <v>0</v>
      </c>
      <c r="W77" s="64"/>
      <c r="X77" s="200">
        <v>0</v>
      </c>
      <c r="Y77" s="155"/>
      <c r="Z77" s="63"/>
      <c r="AA77" s="64">
        <v>0</v>
      </c>
      <c r="AB77" s="64"/>
      <c r="AC77" s="200">
        <v>0</v>
      </c>
      <c r="AD77" s="156"/>
      <c r="AE77" s="153"/>
      <c r="AF77" s="140">
        <v>1</v>
      </c>
      <c r="AG77" s="140"/>
      <c r="AH77" s="200">
        <v>8.9999999999999998E-4</v>
      </c>
      <c r="AI77" s="140"/>
      <c r="AJ77" s="153"/>
      <c r="AK77" s="140">
        <v>1</v>
      </c>
      <c r="AL77" s="140"/>
      <c r="AM77" s="200">
        <v>8.9999999999999998E-4</v>
      </c>
      <c r="AN77" s="156"/>
      <c r="AO77" s="230">
        <v>1.8E-3</v>
      </c>
      <c r="AP77" s="223">
        <v>472</v>
      </c>
      <c r="AQ77" s="223">
        <v>390</v>
      </c>
      <c r="AR77" s="235">
        <v>0.82599999999999996</v>
      </c>
      <c r="AS77" s="223">
        <v>349</v>
      </c>
      <c r="AT77" s="235">
        <v>0.73899999999999999</v>
      </c>
      <c r="AU77" s="223">
        <v>340</v>
      </c>
      <c r="AV77" s="232">
        <v>0.72</v>
      </c>
      <c r="AW77" s="223">
        <v>304</v>
      </c>
      <c r="AX77" s="223">
        <v>288</v>
      </c>
      <c r="AY77" s="235">
        <v>0.94699999999999995</v>
      </c>
      <c r="AZ77" s="223">
        <v>260</v>
      </c>
      <c r="BA77" s="235">
        <v>0.85499999999999998</v>
      </c>
      <c r="BB77" s="223">
        <v>258</v>
      </c>
      <c r="BC77" s="232">
        <v>0.84899999999999998</v>
      </c>
    </row>
    <row r="78" spans="1:55" x14ac:dyDescent="0.25">
      <c r="A78" s="226">
        <v>1</v>
      </c>
      <c r="B78" s="211" t="s">
        <v>117</v>
      </c>
      <c r="C78" s="211">
        <v>414</v>
      </c>
      <c r="D78" s="211" t="s">
        <v>254</v>
      </c>
      <c r="E78" s="211">
        <v>1438</v>
      </c>
      <c r="F78" s="211">
        <v>1440</v>
      </c>
      <c r="G78" s="211"/>
      <c r="H78" s="220" t="str">
        <f>HYPERLINK("https://map.geo.admin.ch/?zoom=7&amp;E=609700&amp;N=206500&amp;layers=ch.kantone.cadastralwebmap-farbe,ch.swisstopo.amtliches-strassenverzeichnis,ch.bfs.gebaeude_wohnungs_register,KML||https://tinyurl.com/yy7ya4g9/BE/0414_bdg_erw.kml","KML building")</f>
        <v>KML building</v>
      </c>
      <c r="I78" s="154">
        <v>2</v>
      </c>
      <c r="J78" s="243" t="s">
        <v>1039</v>
      </c>
      <c r="K78" s="153">
        <v>1.3908205841446453E-3</v>
      </c>
      <c r="L78" s="64">
        <v>0</v>
      </c>
      <c r="M78" s="64"/>
      <c r="N78" s="200">
        <v>0</v>
      </c>
      <c r="O78" s="155"/>
      <c r="P78" s="63"/>
      <c r="Q78" s="64">
        <v>0</v>
      </c>
      <c r="R78" s="64"/>
      <c r="S78" s="200">
        <v>0</v>
      </c>
      <c r="T78" s="155"/>
      <c r="U78" s="63"/>
      <c r="V78" s="64">
        <v>0</v>
      </c>
      <c r="W78" s="64"/>
      <c r="X78" s="200">
        <v>0</v>
      </c>
      <c r="Y78" s="155"/>
      <c r="Z78" s="63"/>
      <c r="AA78" s="64">
        <v>0</v>
      </c>
      <c r="AB78" s="64"/>
      <c r="AC78" s="200">
        <v>0</v>
      </c>
      <c r="AD78" s="156"/>
      <c r="AE78" s="153"/>
      <c r="AF78" s="140">
        <v>0</v>
      </c>
      <c r="AG78" s="140"/>
      <c r="AH78" s="200">
        <v>0</v>
      </c>
      <c r="AI78" s="140"/>
      <c r="AJ78" s="153"/>
      <c r="AK78" s="140">
        <v>2</v>
      </c>
      <c r="AL78" s="140"/>
      <c r="AM78" s="200">
        <v>1.4E-3</v>
      </c>
      <c r="AN78" s="156"/>
      <c r="AO78" s="230">
        <v>1.4E-3</v>
      </c>
      <c r="AP78" s="223">
        <v>607</v>
      </c>
      <c r="AQ78" s="223">
        <v>494</v>
      </c>
      <c r="AR78" s="235">
        <v>0.81399999999999995</v>
      </c>
      <c r="AS78" s="223">
        <v>466</v>
      </c>
      <c r="AT78" s="235">
        <v>0.76800000000000002</v>
      </c>
      <c r="AU78" s="223">
        <v>445</v>
      </c>
      <c r="AV78" s="232">
        <v>0.73299999999999998</v>
      </c>
      <c r="AW78" s="223">
        <v>350</v>
      </c>
      <c r="AX78" s="223">
        <v>341</v>
      </c>
      <c r="AY78" s="235">
        <v>0.97399999999999998</v>
      </c>
      <c r="AZ78" s="223">
        <v>309</v>
      </c>
      <c r="BA78" s="235">
        <v>0.88300000000000001</v>
      </c>
      <c r="BB78" s="223">
        <v>309</v>
      </c>
      <c r="BC78" s="232">
        <v>0.88300000000000001</v>
      </c>
    </row>
    <row r="79" spans="1:55" x14ac:dyDescent="0.25">
      <c r="A79" s="226">
        <v>1</v>
      </c>
      <c r="B79" s="211" t="s">
        <v>117</v>
      </c>
      <c r="C79" s="211">
        <v>415</v>
      </c>
      <c r="D79" s="211" t="s">
        <v>255</v>
      </c>
      <c r="E79" s="211">
        <v>749</v>
      </c>
      <c r="F79" s="211">
        <v>750</v>
      </c>
      <c r="G79" s="211"/>
      <c r="H79" s="220" t="str">
        <f>HYPERLINK("https://map.geo.admin.ch/?zoom=7&amp;E=610600&amp;N=212900&amp;layers=ch.kantone.cadastralwebmap-farbe,ch.swisstopo.amtliches-strassenverzeichnis,ch.bfs.gebaeude_wohnungs_register,KML||https://tinyurl.com/yy7ya4g9/BE/0415_bdg_erw.kml","KML building")</f>
        <v>KML building</v>
      </c>
      <c r="I79" s="154">
        <v>0</v>
      </c>
      <c r="J79" s="243" t="s">
        <v>1040</v>
      </c>
      <c r="K79" s="153">
        <v>0</v>
      </c>
      <c r="L79" s="64">
        <v>0</v>
      </c>
      <c r="M79" s="64"/>
      <c r="N79" s="200">
        <v>0</v>
      </c>
      <c r="O79" s="155"/>
      <c r="P79" s="63"/>
      <c r="Q79" s="64">
        <v>0</v>
      </c>
      <c r="R79" s="64"/>
      <c r="S79" s="200">
        <v>0</v>
      </c>
      <c r="T79" s="155"/>
      <c r="U79" s="63"/>
      <c r="V79" s="64">
        <v>0</v>
      </c>
      <c r="W79" s="64"/>
      <c r="X79" s="200">
        <v>0</v>
      </c>
      <c r="Y79" s="155"/>
      <c r="Z79" s="63"/>
      <c r="AA79" s="64">
        <v>0</v>
      </c>
      <c r="AB79" s="64"/>
      <c r="AC79" s="200">
        <v>0</v>
      </c>
      <c r="AD79" s="156"/>
      <c r="AE79" s="153"/>
      <c r="AF79" s="140">
        <v>2</v>
      </c>
      <c r="AG79" s="140"/>
      <c r="AH79" s="200">
        <v>2.7000000000000001E-3</v>
      </c>
      <c r="AI79" s="140"/>
      <c r="AJ79" s="153"/>
      <c r="AK79" s="140">
        <v>0</v>
      </c>
      <c r="AL79" s="140"/>
      <c r="AM79" s="200">
        <v>0</v>
      </c>
      <c r="AN79" s="156"/>
      <c r="AO79" s="230">
        <v>2.7000000000000001E-3</v>
      </c>
      <c r="AP79" s="223">
        <v>305</v>
      </c>
      <c r="AQ79" s="223">
        <v>265</v>
      </c>
      <c r="AR79" s="235">
        <v>0.86899999999999999</v>
      </c>
      <c r="AS79" s="223">
        <v>226</v>
      </c>
      <c r="AT79" s="235">
        <v>0.74099999999999999</v>
      </c>
      <c r="AU79" s="223">
        <v>220</v>
      </c>
      <c r="AV79" s="232">
        <v>0.72099999999999997</v>
      </c>
      <c r="AW79" s="223">
        <v>175</v>
      </c>
      <c r="AX79" s="223">
        <v>165</v>
      </c>
      <c r="AY79" s="235">
        <v>0.94299999999999995</v>
      </c>
      <c r="AZ79" s="223">
        <v>146</v>
      </c>
      <c r="BA79" s="235">
        <v>0.83399999999999996</v>
      </c>
      <c r="BB79" s="223">
        <v>144</v>
      </c>
      <c r="BC79" s="232">
        <v>0.82299999999999995</v>
      </c>
    </row>
    <row r="80" spans="1:55" x14ac:dyDescent="0.25">
      <c r="A80" s="226">
        <v>1</v>
      </c>
      <c r="B80" s="211" t="s">
        <v>117</v>
      </c>
      <c r="C80" s="211">
        <v>418</v>
      </c>
      <c r="D80" s="211" t="s">
        <v>256</v>
      </c>
      <c r="E80" s="211">
        <v>1537</v>
      </c>
      <c r="F80" s="211">
        <v>1540</v>
      </c>
      <c r="G80" s="211"/>
      <c r="H80" s="220" t="str">
        <f>HYPERLINK("https://map.geo.admin.ch/?zoom=7&amp;E=614300&amp;N=209600&amp;layers=ch.kantone.cadastralwebmap-farbe,ch.swisstopo.amtliches-strassenverzeichnis,ch.bfs.gebaeude_wohnungs_register,KML||https://tinyurl.com/yy7ya4g9/BE/0418_bdg_erw.kml","KML building")</f>
        <v>KML building</v>
      </c>
      <c r="I80" s="154">
        <v>0</v>
      </c>
      <c r="J80" s="243" t="s">
        <v>1041</v>
      </c>
      <c r="K80" s="153">
        <v>0</v>
      </c>
      <c r="L80" s="64">
        <v>0</v>
      </c>
      <c r="M80" s="64"/>
      <c r="N80" s="200">
        <v>0</v>
      </c>
      <c r="O80" s="155"/>
      <c r="P80" s="63"/>
      <c r="Q80" s="64">
        <v>0</v>
      </c>
      <c r="R80" s="64"/>
      <c r="S80" s="200">
        <v>0</v>
      </c>
      <c r="T80" s="155"/>
      <c r="U80" s="63"/>
      <c r="V80" s="64">
        <v>0</v>
      </c>
      <c r="W80" s="64"/>
      <c r="X80" s="200">
        <v>0</v>
      </c>
      <c r="Y80" s="155"/>
      <c r="Z80" s="63"/>
      <c r="AA80" s="64">
        <v>1</v>
      </c>
      <c r="AB80" s="64"/>
      <c r="AC80" s="200">
        <v>5.9999999999999995E-4</v>
      </c>
      <c r="AD80" s="156"/>
      <c r="AE80" s="153"/>
      <c r="AF80" s="140">
        <v>3</v>
      </c>
      <c r="AG80" s="140"/>
      <c r="AH80" s="200">
        <v>2E-3</v>
      </c>
      <c r="AI80" s="140"/>
      <c r="AJ80" s="153"/>
      <c r="AK80" s="140">
        <v>6</v>
      </c>
      <c r="AL80" s="140"/>
      <c r="AM80" s="200">
        <v>3.8999999999999998E-3</v>
      </c>
      <c r="AN80" s="156"/>
      <c r="AO80" s="230">
        <v>6.4999999999999997E-3</v>
      </c>
      <c r="AP80" s="223">
        <v>773</v>
      </c>
      <c r="AQ80" s="223">
        <v>637</v>
      </c>
      <c r="AR80" s="235">
        <v>0.82399999999999995</v>
      </c>
      <c r="AS80" s="223">
        <v>565</v>
      </c>
      <c r="AT80" s="235">
        <v>0.73099999999999998</v>
      </c>
      <c r="AU80" s="223">
        <v>550</v>
      </c>
      <c r="AV80" s="232">
        <v>0.71199999999999997</v>
      </c>
      <c r="AW80" s="223">
        <v>418</v>
      </c>
      <c r="AX80" s="223">
        <v>395</v>
      </c>
      <c r="AY80" s="235">
        <v>0.94499999999999995</v>
      </c>
      <c r="AZ80" s="223">
        <v>361</v>
      </c>
      <c r="BA80" s="235">
        <v>0.86399999999999999</v>
      </c>
      <c r="BB80" s="223">
        <v>357</v>
      </c>
      <c r="BC80" s="232">
        <v>0.85399999999999998</v>
      </c>
    </row>
    <row r="81" spans="1:55" x14ac:dyDescent="0.25">
      <c r="A81" s="226">
        <v>1</v>
      </c>
      <c r="B81" s="211" t="s">
        <v>117</v>
      </c>
      <c r="C81" s="211">
        <v>420</v>
      </c>
      <c r="D81" s="211" t="s">
        <v>257</v>
      </c>
      <c r="E81" s="211">
        <v>784</v>
      </c>
      <c r="F81" s="211">
        <v>784</v>
      </c>
      <c r="G81" s="211"/>
      <c r="H81" s="220" t="str">
        <f>HYPERLINK("https://map.geo.admin.ch/?zoom=7&amp;E=610000&amp;N=215100&amp;layers=ch.kantone.cadastralwebmap-farbe,ch.swisstopo.amtliches-strassenverzeichnis,ch.bfs.gebaeude_wohnungs_register,KML||https://tinyurl.com/yy7ya4g9/BE/0420_bdg_erw.kml","KML building")</f>
        <v>KML building</v>
      </c>
      <c r="I81" s="154">
        <v>0</v>
      </c>
      <c r="J81" s="243" t="s">
        <v>1042</v>
      </c>
      <c r="K81" s="153">
        <v>0</v>
      </c>
      <c r="L81" s="64">
        <v>0</v>
      </c>
      <c r="M81" s="64"/>
      <c r="N81" s="200">
        <v>0</v>
      </c>
      <c r="O81" s="155"/>
      <c r="P81" s="63"/>
      <c r="Q81" s="64">
        <v>0</v>
      </c>
      <c r="R81" s="64"/>
      <c r="S81" s="200">
        <v>0</v>
      </c>
      <c r="T81" s="155"/>
      <c r="U81" s="63"/>
      <c r="V81" s="64">
        <v>0</v>
      </c>
      <c r="W81" s="64"/>
      <c r="X81" s="200">
        <v>0</v>
      </c>
      <c r="Y81" s="155"/>
      <c r="Z81" s="63"/>
      <c r="AA81" s="64">
        <v>1</v>
      </c>
      <c r="AB81" s="64"/>
      <c r="AC81" s="200">
        <v>1.2999999999999999E-3</v>
      </c>
      <c r="AD81" s="156"/>
      <c r="AE81" s="153"/>
      <c r="AF81" s="140">
        <v>15</v>
      </c>
      <c r="AG81" s="140"/>
      <c r="AH81" s="200">
        <v>1.9099999999999999E-2</v>
      </c>
      <c r="AI81" s="140"/>
      <c r="AJ81" s="153"/>
      <c r="AK81" s="140">
        <v>0</v>
      </c>
      <c r="AL81" s="140"/>
      <c r="AM81" s="200">
        <v>0</v>
      </c>
      <c r="AN81" s="156"/>
      <c r="AO81" s="230">
        <v>2.0399999999999998E-2</v>
      </c>
      <c r="AP81" s="223">
        <v>303</v>
      </c>
      <c r="AQ81" s="223">
        <v>262</v>
      </c>
      <c r="AR81" s="235">
        <v>0.86499999999999999</v>
      </c>
      <c r="AS81" s="223">
        <v>236</v>
      </c>
      <c r="AT81" s="235">
        <v>0.77900000000000003</v>
      </c>
      <c r="AU81" s="223">
        <v>232</v>
      </c>
      <c r="AV81" s="232">
        <v>0.76600000000000001</v>
      </c>
      <c r="AW81" s="223">
        <v>159</v>
      </c>
      <c r="AX81" s="223">
        <v>151</v>
      </c>
      <c r="AY81" s="235">
        <v>0.95</v>
      </c>
      <c r="AZ81" s="223">
        <v>135</v>
      </c>
      <c r="BA81" s="235">
        <v>0.84899999999999998</v>
      </c>
      <c r="BB81" s="223">
        <v>134</v>
      </c>
      <c r="BC81" s="232">
        <v>0.84299999999999997</v>
      </c>
    </row>
    <row r="82" spans="1:55" x14ac:dyDescent="0.25">
      <c r="A82" s="226">
        <v>1</v>
      </c>
      <c r="B82" s="211" t="s">
        <v>117</v>
      </c>
      <c r="C82" s="211">
        <v>421</v>
      </c>
      <c r="D82" s="211" t="s">
        <v>258</v>
      </c>
      <c r="E82" s="211">
        <v>94</v>
      </c>
      <c r="F82" s="211">
        <v>94</v>
      </c>
      <c r="G82" s="211"/>
      <c r="H82" s="220" t="str">
        <f>HYPERLINK("https://map.geo.admin.ch/?zoom=7&amp;E=615500&amp;N=217200&amp;layers=ch.kantone.cadastralwebmap-farbe,ch.swisstopo.amtliches-strassenverzeichnis,ch.bfs.gebaeude_wohnungs_register,KML||https://tinyurl.com/yy7ya4g9/BE/0421_bdg_erw.kml","KML building")</f>
        <v>KML building</v>
      </c>
      <c r="I82" s="154">
        <v>0</v>
      </c>
      <c r="J82" s="243" t="s">
        <v>1043</v>
      </c>
      <c r="K82" s="153">
        <v>0</v>
      </c>
      <c r="L82" s="64">
        <v>0</v>
      </c>
      <c r="M82" s="64"/>
      <c r="N82" s="200">
        <v>0</v>
      </c>
      <c r="O82" s="155"/>
      <c r="P82" s="63"/>
      <c r="Q82" s="64">
        <v>0</v>
      </c>
      <c r="R82" s="64"/>
      <c r="S82" s="200">
        <v>0</v>
      </c>
      <c r="T82" s="155"/>
      <c r="U82" s="63"/>
      <c r="V82" s="64">
        <v>0</v>
      </c>
      <c r="W82" s="64"/>
      <c r="X82" s="200">
        <v>0</v>
      </c>
      <c r="Y82" s="155"/>
      <c r="Z82" s="63"/>
      <c r="AA82" s="64">
        <v>0</v>
      </c>
      <c r="AB82" s="64"/>
      <c r="AC82" s="200">
        <v>0</v>
      </c>
      <c r="AD82" s="156"/>
      <c r="AE82" s="153"/>
      <c r="AF82" s="140">
        <v>0</v>
      </c>
      <c r="AG82" s="140"/>
      <c r="AH82" s="200">
        <v>0</v>
      </c>
      <c r="AI82" s="140"/>
      <c r="AJ82" s="153"/>
      <c r="AK82" s="140">
        <v>0</v>
      </c>
      <c r="AL82" s="140"/>
      <c r="AM82" s="200">
        <v>0</v>
      </c>
      <c r="AN82" s="156"/>
      <c r="AO82" s="230">
        <v>0</v>
      </c>
      <c r="AP82" s="223">
        <v>61</v>
      </c>
      <c r="AQ82" s="223">
        <v>57</v>
      </c>
      <c r="AR82" s="235">
        <v>0.93400000000000005</v>
      </c>
      <c r="AS82" s="223">
        <v>56</v>
      </c>
      <c r="AT82" s="235">
        <v>0.91800000000000004</v>
      </c>
      <c r="AU82" s="223">
        <v>55</v>
      </c>
      <c r="AV82" s="232">
        <v>0.90200000000000002</v>
      </c>
      <c r="AW82" s="223">
        <v>44</v>
      </c>
      <c r="AX82" s="223">
        <v>42</v>
      </c>
      <c r="AY82" s="235">
        <v>0.95499999999999996</v>
      </c>
      <c r="AZ82" s="223">
        <v>40</v>
      </c>
      <c r="BA82" s="235">
        <v>0.90900000000000003</v>
      </c>
      <c r="BB82" s="223">
        <v>40</v>
      </c>
      <c r="BC82" s="232">
        <v>0.90900000000000003</v>
      </c>
    </row>
    <row r="83" spans="1:55" x14ac:dyDescent="0.25">
      <c r="A83" s="226">
        <v>1</v>
      </c>
      <c r="B83" s="211" t="s">
        <v>117</v>
      </c>
      <c r="C83" s="211">
        <v>422</v>
      </c>
      <c r="D83" s="211" t="s">
        <v>259</v>
      </c>
      <c r="E83" s="211">
        <v>128</v>
      </c>
      <c r="F83" s="211">
        <v>128</v>
      </c>
      <c r="G83" s="211"/>
      <c r="H83" s="220" t="str">
        <f>HYPERLINK("https://map.geo.admin.ch/?zoom=7&amp;E=610600&amp;N=211500&amp;layers=ch.kantone.cadastralwebmap-farbe,ch.swisstopo.amtliches-strassenverzeichnis,ch.bfs.gebaeude_wohnungs_register,KML||https://tinyurl.com/yy7ya4g9/BE/0422_bdg_erw.kml","KML building")</f>
        <v>KML building</v>
      </c>
      <c r="I83" s="154">
        <v>0</v>
      </c>
      <c r="J83" s="243" t="s">
        <v>1044</v>
      </c>
      <c r="K83" s="153">
        <v>0</v>
      </c>
      <c r="L83" s="64">
        <v>0</v>
      </c>
      <c r="M83" s="64"/>
      <c r="N83" s="200">
        <v>0</v>
      </c>
      <c r="O83" s="155"/>
      <c r="P83" s="63"/>
      <c r="Q83" s="64">
        <v>0</v>
      </c>
      <c r="R83" s="64"/>
      <c r="S83" s="200">
        <v>0</v>
      </c>
      <c r="T83" s="155"/>
      <c r="U83" s="63"/>
      <c r="V83" s="64">
        <v>0</v>
      </c>
      <c r="W83" s="64"/>
      <c r="X83" s="200">
        <v>0</v>
      </c>
      <c r="Y83" s="155"/>
      <c r="Z83" s="63"/>
      <c r="AA83" s="64">
        <v>0</v>
      </c>
      <c r="AB83" s="64"/>
      <c r="AC83" s="200">
        <v>0</v>
      </c>
      <c r="AD83" s="156"/>
      <c r="AE83" s="153"/>
      <c r="AF83" s="140">
        <v>0</v>
      </c>
      <c r="AG83" s="140"/>
      <c r="AH83" s="200">
        <v>0</v>
      </c>
      <c r="AI83" s="140"/>
      <c r="AJ83" s="153"/>
      <c r="AK83" s="140">
        <v>0</v>
      </c>
      <c r="AL83" s="140"/>
      <c r="AM83" s="200">
        <v>0</v>
      </c>
      <c r="AN83" s="156"/>
      <c r="AO83" s="230">
        <v>0</v>
      </c>
      <c r="AP83" s="223">
        <v>65</v>
      </c>
      <c r="AQ83" s="223">
        <v>56</v>
      </c>
      <c r="AR83" s="235">
        <v>0.86199999999999999</v>
      </c>
      <c r="AS83" s="223">
        <v>44</v>
      </c>
      <c r="AT83" s="235">
        <v>0.67700000000000005</v>
      </c>
      <c r="AU83" s="223">
        <v>44</v>
      </c>
      <c r="AV83" s="232">
        <v>0.67700000000000005</v>
      </c>
      <c r="AW83" s="223">
        <v>29</v>
      </c>
      <c r="AX83" s="223">
        <v>29</v>
      </c>
      <c r="AY83" s="235">
        <v>1</v>
      </c>
      <c r="AZ83" s="223">
        <v>27</v>
      </c>
      <c r="BA83" s="235">
        <v>0.93100000000000005</v>
      </c>
      <c r="BB83" s="223">
        <v>27</v>
      </c>
      <c r="BC83" s="232">
        <v>0.93100000000000005</v>
      </c>
    </row>
    <row r="84" spans="1:55" x14ac:dyDescent="0.25">
      <c r="A84" s="226">
        <v>1</v>
      </c>
      <c r="B84" s="211" t="s">
        <v>117</v>
      </c>
      <c r="C84" s="211">
        <v>423</v>
      </c>
      <c r="D84" s="211" t="s">
        <v>260</v>
      </c>
      <c r="E84" s="211">
        <v>168</v>
      </c>
      <c r="F84" s="211">
        <v>169</v>
      </c>
      <c r="G84" s="211"/>
      <c r="H84" s="220" t="str">
        <f>HYPERLINK("https://map.geo.admin.ch/?zoom=7&amp;E=613300&amp;N=221700&amp;layers=ch.kantone.cadastralwebmap-farbe,ch.swisstopo.amtliches-strassenverzeichnis,ch.bfs.gebaeude_wohnungs_register,KML||https://tinyurl.com/yy7ya4g9/BE/0423_bdg_erw.kml","KML building")</f>
        <v>KML building</v>
      </c>
      <c r="I84" s="154">
        <v>1</v>
      </c>
      <c r="J84" s="243" t="s">
        <v>1045</v>
      </c>
      <c r="K84" s="153">
        <v>5.9523809523809521E-3</v>
      </c>
      <c r="L84" s="64">
        <v>0</v>
      </c>
      <c r="M84" s="64"/>
      <c r="N84" s="200">
        <v>0</v>
      </c>
      <c r="O84" s="155"/>
      <c r="P84" s="63"/>
      <c r="Q84" s="64">
        <v>0</v>
      </c>
      <c r="R84" s="64"/>
      <c r="S84" s="200">
        <v>0</v>
      </c>
      <c r="T84" s="155"/>
      <c r="U84" s="63"/>
      <c r="V84" s="64">
        <v>0</v>
      </c>
      <c r="W84" s="64"/>
      <c r="X84" s="200">
        <v>0</v>
      </c>
      <c r="Y84" s="155"/>
      <c r="Z84" s="63"/>
      <c r="AA84" s="64">
        <v>0</v>
      </c>
      <c r="AB84" s="64"/>
      <c r="AC84" s="200">
        <v>0</v>
      </c>
      <c r="AD84" s="156"/>
      <c r="AE84" s="153"/>
      <c r="AF84" s="140">
        <v>4</v>
      </c>
      <c r="AG84" s="140"/>
      <c r="AH84" s="200">
        <v>2.3800000000000002E-2</v>
      </c>
      <c r="AI84" s="140"/>
      <c r="AJ84" s="153"/>
      <c r="AK84" s="140">
        <v>0</v>
      </c>
      <c r="AL84" s="140"/>
      <c r="AM84" s="200">
        <v>0</v>
      </c>
      <c r="AN84" s="156"/>
      <c r="AO84" s="230">
        <v>2.3800000000000002E-2</v>
      </c>
      <c r="AP84" s="223">
        <v>88</v>
      </c>
      <c r="AQ84" s="223">
        <v>81</v>
      </c>
      <c r="AR84" s="235">
        <v>0.92</v>
      </c>
      <c r="AS84" s="223">
        <v>73</v>
      </c>
      <c r="AT84" s="235">
        <v>0.83</v>
      </c>
      <c r="AU84" s="223">
        <v>71</v>
      </c>
      <c r="AV84" s="232">
        <v>0.80700000000000005</v>
      </c>
      <c r="AW84" s="223">
        <v>55</v>
      </c>
      <c r="AX84" s="223">
        <v>54</v>
      </c>
      <c r="AY84" s="235">
        <v>0.98199999999999998</v>
      </c>
      <c r="AZ84" s="223">
        <v>49</v>
      </c>
      <c r="BA84" s="235">
        <v>0.89100000000000001</v>
      </c>
      <c r="BB84" s="223">
        <v>49</v>
      </c>
      <c r="BC84" s="232">
        <v>0.89100000000000001</v>
      </c>
    </row>
    <row r="85" spans="1:55" x14ac:dyDescent="0.25">
      <c r="A85" s="226">
        <v>1</v>
      </c>
      <c r="B85" s="211" t="s">
        <v>117</v>
      </c>
      <c r="C85" s="211">
        <v>424</v>
      </c>
      <c r="D85" s="211" t="s">
        <v>261</v>
      </c>
      <c r="E85" s="211">
        <v>1651</v>
      </c>
      <c r="F85" s="211">
        <v>1654</v>
      </c>
      <c r="G85" s="211"/>
      <c r="H85" s="220" t="str">
        <f>HYPERLINK("https://map.geo.admin.ch/?zoom=7&amp;E=617300&amp;N=217200&amp;layers=ch.kantone.cadastralwebmap-farbe,ch.swisstopo.amtliches-strassenverzeichnis,ch.bfs.gebaeude_wohnungs_register,KML||https://tinyurl.com/yy7ya4g9/BE/0424_bdg_erw.kml","KML building")</f>
        <v>KML building</v>
      </c>
      <c r="I85" s="154">
        <v>0</v>
      </c>
      <c r="J85" s="243" t="s">
        <v>1046</v>
      </c>
      <c r="K85" s="153">
        <v>0</v>
      </c>
      <c r="L85" s="64">
        <v>0</v>
      </c>
      <c r="M85" s="64"/>
      <c r="N85" s="200">
        <v>0</v>
      </c>
      <c r="O85" s="155"/>
      <c r="P85" s="63"/>
      <c r="Q85" s="64">
        <v>0</v>
      </c>
      <c r="R85" s="64"/>
      <c r="S85" s="200">
        <v>0</v>
      </c>
      <c r="T85" s="155"/>
      <c r="U85" s="63"/>
      <c r="V85" s="64">
        <v>0</v>
      </c>
      <c r="W85" s="64"/>
      <c r="X85" s="200">
        <v>0</v>
      </c>
      <c r="Y85" s="155"/>
      <c r="Z85" s="63"/>
      <c r="AA85" s="64">
        <v>0</v>
      </c>
      <c r="AB85" s="64"/>
      <c r="AC85" s="200">
        <v>0</v>
      </c>
      <c r="AD85" s="156"/>
      <c r="AE85" s="153"/>
      <c r="AF85" s="140">
        <v>1</v>
      </c>
      <c r="AG85" s="140"/>
      <c r="AH85" s="200">
        <v>5.9999999999999995E-4</v>
      </c>
      <c r="AI85" s="140"/>
      <c r="AJ85" s="153"/>
      <c r="AK85" s="140">
        <v>1</v>
      </c>
      <c r="AL85" s="140"/>
      <c r="AM85" s="200">
        <v>5.9999999999999995E-4</v>
      </c>
      <c r="AN85" s="156"/>
      <c r="AO85" s="230">
        <v>1.1999999999999999E-3</v>
      </c>
      <c r="AP85" s="223">
        <v>903</v>
      </c>
      <c r="AQ85" s="223">
        <v>740</v>
      </c>
      <c r="AR85" s="235">
        <v>0.81899999999999995</v>
      </c>
      <c r="AS85" s="223">
        <v>629</v>
      </c>
      <c r="AT85" s="235">
        <v>0.69699999999999995</v>
      </c>
      <c r="AU85" s="223">
        <v>622</v>
      </c>
      <c r="AV85" s="232">
        <v>0.68899999999999995</v>
      </c>
      <c r="AW85" s="223">
        <v>462</v>
      </c>
      <c r="AX85" s="223">
        <v>445</v>
      </c>
      <c r="AY85" s="235">
        <v>0.96299999999999997</v>
      </c>
      <c r="AZ85" s="223">
        <v>410</v>
      </c>
      <c r="BA85" s="235">
        <v>0.88700000000000001</v>
      </c>
      <c r="BB85" s="223">
        <v>405</v>
      </c>
      <c r="BC85" s="232">
        <v>0.877</v>
      </c>
    </row>
    <row r="86" spans="1:55" x14ac:dyDescent="0.25">
      <c r="A86" s="226">
        <v>1</v>
      </c>
      <c r="B86" s="211" t="s">
        <v>117</v>
      </c>
      <c r="C86" s="211">
        <v>431</v>
      </c>
      <c r="D86" s="211" t="s">
        <v>262</v>
      </c>
      <c r="E86" s="211">
        <v>957</v>
      </c>
      <c r="F86" s="211">
        <v>961</v>
      </c>
      <c r="G86" s="211"/>
      <c r="H86" s="220" t="str">
        <f>HYPERLINK("https://map.geo.admin.ch/?zoom=7&amp;E=577500&amp;N=227000&amp;layers=ch.kantone.cadastralwebmap-farbe,ch.swisstopo.amtliches-strassenverzeichnis,ch.bfs.gebaeude_wohnungs_register,KML||https://tinyurl.com/yy7ya4g9/BE/0431_bdg_erw.kml","KML building")</f>
        <v>KML building</v>
      </c>
      <c r="I86" s="154">
        <v>1</v>
      </c>
      <c r="J86" s="243" t="s">
        <v>1047</v>
      </c>
      <c r="K86" s="153">
        <v>1.0449320794148381E-3</v>
      </c>
      <c r="L86" s="64">
        <v>0</v>
      </c>
      <c r="M86" s="64"/>
      <c r="N86" s="200">
        <v>0</v>
      </c>
      <c r="O86" s="155"/>
      <c r="P86" s="63"/>
      <c r="Q86" s="64">
        <v>0</v>
      </c>
      <c r="R86" s="64"/>
      <c r="S86" s="200">
        <v>0</v>
      </c>
      <c r="T86" s="155"/>
      <c r="U86" s="63"/>
      <c r="V86" s="64">
        <v>0</v>
      </c>
      <c r="W86" s="64"/>
      <c r="X86" s="200">
        <v>0</v>
      </c>
      <c r="Y86" s="155"/>
      <c r="Z86" s="63"/>
      <c r="AA86" s="64">
        <v>0</v>
      </c>
      <c r="AB86" s="64"/>
      <c r="AC86" s="200">
        <v>0</v>
      </c>
      <c r="AD86" s="156"/>
      <c r="AE86" s="153"/>
      <c r="AF86" s="140">
        <v>0</v>
      </c>
      <c r="AG86" s="140"/>
      <c r="AH86" s="200">
        <v>0</v>
      </c>
      <c r="AI86" s="140"/>
      <c r="AJ86" s="153"/>
      <c r="AK86" s="140">
        <v>0</v>
      </c>
      <c r="AL86" s="140"/>
      <c r="AM86" s="200">
        <v>0</v>
      </c>
      <c r="AN86" s="156"/>
      <c r="AO86" s="230">
        <v>0</v>
      </c>
      <c r="AP86" s="223">
        <v>428</v>
      </c>
      <c r="AQ86" s="223">
        <v>341</v>
      </c>
      <c r="AR86" s="235">
        <v>0.79700000000000004</v>
      </c>
      <c r="AS86" s="223">
        <v>321</v>
      </c>
      <c r="AT86" s="235">
        <v>0.75</v>
      </c>
      <c r="AU86" s="223">
        <v>319</v>
      </c>
      <c r="AV86" s="232">
        <v>0.745</v>
      </c>
      <c r="AW86" s="223">
        <v>251</v>
      </c>
      <c r="AX86" s="223">
        <v>227</v>
      </c>
      <c r="AY86" s="235">
        <v>0.90400000000000003</v>
      </c>
      <c r="AZ86" s="223">
        <v>220</v>
      </c>
      <c r="BA86" s="235">
        <v>0.876</v>
      </c>
      <c r="BB86" s="223">
        <v>218</v>
      </c>
      <c r="BC86" s="232">
        <v>0.86899999999999999</v>
      </c>
    </row>
    <row r="87" spans="1:55" x14ac:dyDescent="0.25">
      <c r="A87" s="226">
        <v>1</v>
      </c>
      <c r="B87" s="211" t="s">
        <v>117</v>
      </c>
      <c r="C87" s="211">
        <v>432</v>
      </c>
      <c r="D87" s="211" t="s">
        <v>263</v>
      </c>
      <c r="E87" s="211">
        <v>390</v>
      </c>
      <c r="F87" s="211">
        <v>393</v>
      </c>
      <c r="G87" s="211"/>
      <c r="H87" s="220" t="str">
        <f>HYPERLINK("https://map.geo.admin.ch/?zoom=7&amp;E=570800&amp;N=224700&amp;layers=ch.kantone.cadastralwebmap-farbe,ch.swisstopo.amtliches-strassenverzeichnis,ch.bfs.gebaeude_wohnungs_register,KML||https://tinyurl.com/yy7ya4g9/BE/0432_bdg_erw.kml","KML building")</f>
        <v>KML building</v>
      </c>
      <c r="I87" s="154">
        <v>0</v>
      </c>
      <c r="J87" s="243" t="s">
        <v>1048</v>
      </c>
      <c r="K87" s="153">
        <v>0</v>
      </c>
      <c r="L87" s="64">
        <v>0</v>
      </c>
      <c r="M87" s="64"/>
      <c r="N87" s="200">
        <v>0</v>
      </c>
      <c r="O87" s="155"/>
      <c r="P87" s="63"/>
      <c r="Q87" s="64">
        <v>0</v>
      </c>
      <c r="R87" s="64"/>
      <c r="S87" s="200">
        <v>0</v>
      </c>
      <c r="T87" s="155"/>
      <c r="U87" s="63"/>
      <c r="V87" s="64">
        <v>0</v>
      </c>
      <c r="W87" s="64"/>
      <c r="X87" s="200">
        <v>0</v>
      </c>
      <c r="Y87" s="155"/>
      <c r="Z87" s="63"/>
      <c r="AA87" s="64">
        <v>0</v>
      </c>
      <c r="AB87" s="64"/>
      <c r="AC87" s="200">
        <v>0</v>
      </c>
      <c r="AD87" s="156"/>
      <c r="AE87" s="153"/>
      <c r="AF87" s="140">
        <v>0</v>
      </c>
      <c r="AG87" s="140"/>
      <c r="AH87" s="200">
        <v>0</v>
      </c>
      <c r="AI87" s="140"/>
      <c r="AJ87" s="153"/>
      <c r="AK87" s="140">
        <v>0</v>
      </c>
      <c r="AL87" s="140"/>
      <c r="AM87" s="200">
        <v>0</v>
      </c>
      <c r="AN87" s="156"/>
      <c r="AO87" s="230">
        <v>0</v>
      </c>
      <c r="AP87" s="223">
        <v>200</v>
      </c>
      <c r="AQ87" s="223">
        <v>178</v>
      </c>
      <c r="AR87" s="235">
        <v>0.89</v>
      </c>
      <c r="AS87" s="223">
        <v>166</v>
      </c>
      <c r="AT87" s="235">
        <v>0.83</v>
      </c>
      <c r="AU87" s="223">
        <v>164</v>
      </c>
      <c r="AV87" s="232">
        <v>0.82</v>
      </c>
      <c r="AW87" s="223">
        <v>118</v>
      </c>
      <c r="AX87" s="223">
        <v>106</v>
      </c>
      <c r="AY87" s="235">
        <v>0.89800000000000002</v>
      </c>
      <c r="AZ87" s="223">
        <v>103</v>
      </c>
      <c r="BA87" s="235">
        <v>0.873</v>
      </c>
      <c r="BB87" s="223">
        <v>101</v>
      </c>
      <c r="BC87" s="232">
        <v>0.85599999999999998</v>
      </c>
    </row>
    <row r="88" spans="1:55" x14ac:dyDescent="0.25">
      <c r="A88" s="226">
        <v>1</v>
      </c>
      <c r="B88" s="211" t="s">
        <v>117</v>
      </c>
      <c r="C88" s="211">
        <v>433</v>
      </c>
      <c r="D88" s="211" t="s">
        <v>264</v>
      </c>
      <c r="E88" s="211">
        <v>466</v>
      </c>
      <c r="F88" s="211">
        <v>469</v>
      </c>
      <c r="G88" s="211"/>
      <c r="H88" s="220" t="str">
        <f>HYPERLINK("https://map.geo.admin.ch/?zoom=7&amp;E=574900&amp;N=226600&amp;layers=ch.kantone.cadastralwebmap-farbe,ch.swisstopo.amtliches-strassenverzeichnis,ch.bfs.gebaeude_wohnungs_register,KML||https://tinyurl.com/yy7ya4g9/BE/0433_bdg_erw.kml","KML building")</f>
        <v>KML building</v>
      </c>
      <c r="I88" s="154">
        <v>0</v>
      </c>
      <c r="J88" s="243" t="s">
        <v>1049</v>
      </c>
      <c r="K88" s="153">
        <v>0</v>
      </c>
      <c r="L88" s="64">
        <v>0</v>
      </c>
      <c r="M88" s="64"/>
      <c r="N88" s="200">
        <v>0</v>
      </c>
      <c r="O88" s="155"/>
      <c r="P88" s="63"/>
      <c r="Q88" s="64">
        <v>0</v>
      </c>
      <c r="R88" s="64"/>
      <c r="S88" s="200">
        <v>0</v>
      </c>
      <c r="T88" s="155"/>
      <c r="U88" s="63"/>
      <c r="V88" s="64">
        <v>0</v>
      </c>
      <c r="W88" s="64"/>
      <c r="X88" s="200">
        <v>0</v>
      </c>
      <c r="Y88" s="155"/>
      <c r="Z88" s="63"/>
      <c r="AA88" s="64">
        <v>0</v>
      </c>
      <c r="AB88" s="64"/>
      <c r="AC88" s="200">
        <v>0</v>
      </c>
      <c r="AD88" s="156"/>
      <c r="AE88" s="153"/>
      <c r="AF88" s="140">
        <v>0</v>
      </c>
      <c r="AG88" s="140"/>
      <c r="AH88" s="200">
        <v>0</v>
      </c>
      <c r="AI88" s="140"/>
      <c r="AJ88" s="153"/>
      <c r="AK88" s="140">
        <v>0</v>
      </c>
      <c r="AL88" s="140"/>
      <c r="AM88" s="200">
        <v>0</v>
      </c>
      <c r="AN88" s="156"/>
      <c r="AO88" s="230">
        <v>0</v>
      </c>
      <c r="AP88" s="223">
        <v>232</v>
      </c>
      <c r="AQ88" s="223">
        <v>195</v>
      </c>
      <c r="AR88" s="235">
        <v>0.84099999999999997</v>
      </c>
      <c r="AS88" s="223">
        <v>181</v>
      </c>
      <c r="AT88" s="235">
        <v>0.78</v>
      </c>
      <c r="AU88" s="223">
        <v>180</v>
      </c>
      <c r="AV88" s="232">
        <v>0.77600000000000002</v>
      </c>
      <c r="AW88" s="223">
        <v>144</v>
      </c>
      <c r="AX88" s="223">
        <v>139</v>
      </c>
      <c r="AY88" s="235">
        <v>0.96499999999999997</v>
      </c>
      <c r="AZ88" s="223">
        <v>130</v>
      </c>
      <c r="BA88" s="235">
        <v>0.90300000000000002</v>
      </c>
      <c r="BB88" s="223">
        <v>129</v>
      </c>
      <c r="BC88" s="232">
        <v>0.89600000000000002</v>
      </c>
    </row>
    <row r="89" spans="1:55" x14ac:dyDescent="0.25">
      <c r="A89" s="226">
        <v>1</v>
      </c>
      <c r="B89" s="211" t="s">
        <v>117</v>
      </c>
      <c r="C89" s="211">
        <v>434</v>
      </c>
      <c r="D89" s="211" t="s">
        <v>265</v>
      </c>
      <c r="E89" s="211">
        <v>944</v>
      </c>
      <c r="F89" s="211">
        <v>946</v>
      </c>
      <c r="G89" s="211"/>
      <c r="H89" s="220" t="str">
        <f>HYPERLINK("https://map.geo.admin.ch/?zoom=7&amp;E=572300&amp;N=225400&amp;layers=ch.kantone.cadastralwebmap-farbe,ch.swisstopo.amtliches-strassenverzeichnis,ch.bfs.gebaeude_wohnungs_register,KML||https://tinyurl.com/yy7ya4g9/BE/0434_bdg_erw.kml","KML building")</f>
        <v>KML building</v>
      </c>
      <c r="I89" s="154">
        <v>0</v>
      </c>
      <c r="J89" s="243" t="s">
        <v>1050</v>
      </c>
      <c r="K89" s="153">
        <v>0</v>
      </c>
      <c r="L89" s="64">
        <v>0</v>
      </c>
      <c r="M89" s="64"/>
      <c r="N89" s="200">
        <v>0</v>
      </c>
      <c r="O89" s="155"/>
      <c r="P89" s="63"/>
      <c r="Q89" s="64">
        <v>0</v>
      </c>
      <c r="R89" s="64"/>
      <c r="S89" s="200">
        <v>0</v>
      </c>
      <c r="T89" s="155"/>
      <c r="U89" s="63"/>
      <c r="V89" s="64">
        <v>0</v>
      </c>
      <c r="W89" s="64"/>
      <c r="X89" s="200">
        <v>0</v>
      </c>
      <c r="Y89" s="155"/>
      <c r="Z89" s="63"/>
      <c r="AA89" s="64">
        <v>0</v>
      </c>
      <c r="AB89" s="64"/>
      <c r="AC89" s="200">
        <v>0</v>
      </c>
      <c r="AD89" s="156"/>
      <c r="AE89" s="153"/>
      <c r="AF89" s="140">
        <v>0</v>
      </c>
      <c r="AG89" s="140"/>
      <c r="AH89" s="200">
        <v>0</v>
      </c>
      <c r="AI89" s="140"/>
      <c r="AJ89" s="153"/>
      <c r="AK89" s="140">
        <v>0</v>
      </c>
      <c r="AL89" s="140"/>
      <c r="AM89" s="200">
        <v>0</v>
      </c>
      <c r="AN89" s="156"/>
      <c r="AO89" s="230">
        <v>0</v>
      </c>
      <c r="AP89" s="223">
        <v>465</v>
      </c>
      <c r="AQ89" s="223">
        <v>395</v>
      </c>
      <c r="AR89" s="235">
        <v>0.84899999999999998</v>
      </c>
      <c r="AS89" s="223">
        <v>355</v>
      </c>
      <c r="AT89" s="235">
        <v>0.76300000000000001</v>
      </c>
      <c r="AU89" s="223">
        <v>349</v>
      </c>
      <c r="AV89" s="232">
        <v>0.751</v>
      </c>
      <c r="AW89" s="223">
        <v>284</v>
      </c>
      <c r="AX89" s="223">
        <v>264</v>
      </c>
      <c r="AY89" s="235">
        <v>0.93</v>
      </c>
      <c r="AZ89" s="223">
        <v>252</v>
      </c>
      <c r="BA89" s="235">
        <v>0.88700000000000001</v>
      </c>
      <c r="BB89" s="223">
        <v>247</v>
      </c>
      <c r="BC89" s="232">
        <v>0.87</v>
      </c>
    </row>
    <row r="90" spans="1:55" x14ac:dyDescent="0.25">
      <c r="A90" s="226">
        <v>1</v>
      </c>
      <c r="B90" s="211" t="s">
        <v>117</v>
      </c>
      <c r="C90" s="211">
        <v>435</v>
      </c>
      <c r="D90" s="211" t="s">
        <v>266</v>
      </c>
      <c r="E90" s="211">
        <v>437</v>
      </c>
      <c r="F90" s="211">
        <v>439</v>
      </c>
      <c r="G90" s="211"/>
      <c r="H90" s="220" t="str">
        <f>HYPERLINK("https://map.geo.admin.ch/?zoom=7&amp;E=558700&amp;N=221200&amp;layers=ch.kantone.cadastralwebmap-farbe,ch.swisstopo.amtliches-strassenverzeichnis,ch.bfs.gebaeude_wohnungs_register,KML||https://tinyurl.com/yy7ya4g9/BE/0435_bdg_erw.kml","KML building")</f>
        <v>KML building</v>
      </c>
      <c r="I90" s="154">
        <v>1</v>
      </c>
      <c r="J90" s="243" t="s">
        <v>1051</v>
      </c>
      <c r="K90" s="153">
        <v>2.2883295194508009E-3</v>
      </c>
      <c r="L90" s="64">
        <v>0</v>
      </c>
      <c r="M90" s="64"/>
      <c r="N90" s="200">
        <v>0</v>
      </c>
      <c r="O90" s="155"/>
      <c r="P90" s="63"/>
      <c r="Q90" s="64">
        <v>0</v>
      </c>
      <c r="R90" s="64"/>
      <c r="S90" s="200">
        <v>0</v>
      </c>
      <c r="T90" s="155"/>
      <c r="U90" s="63"/>
      <c r="V90" s="64">
        <v>0</v>
      </c>
      <c r="W90" s="64"/>
      <c r="X90" s="200">
        <v>0</v>
      </c>
      <c r="Y90" s="155"/>
      <c r="Z90" s="63"/>
      <c r="AA90" s="64">
        <v>0</v>
      </c>
      <c r="AB90" s="64"/>
      <c r="AC90" s="200">
        <v>0</v>
      </c>
      <c r="AD90" s="156"/>
      <c r="AE90" s="153"/>
      <c r="AF90" s="140">
        <v>0</v>
      </c>
      <c r="AG90" s="140"/>
      <c r="AH90" s="200">
        <v>0</v>
      </c>
      <c r="AI90" s="140"/>
      <c r="AJ90" s="153"/>
      <c r="AK90" s="140">
        <v>0</v>
      </c>
      <c r="AL90" s="140"/>
      <c r="AM90" s="200">
        <v>0</v>
      </c>
      <c r="AN90" s="156"/>
      <c r="AO90" s="230">
        <v>0</v>
      </c>
      <c r="AP90" s="223">
        <v>224</v>
      </c>
      <c r="AQ90" s="223">
        <v>186</v>
      </c>
      <c r="AR90" s="235">
        <v>0.83</v>
      </c>
      <c r="AS90" s="223">
        <v>183</v>
      </c>
      <c r="AT90" s="235">
        <v>0.81699999999999995</v>
      </c>
      <c r="AU90" s="223">
        <v>180</v>
      </c>
      <c r="AV90" s="232">
        <v>0.80400000000000005</v>
      </c>
      <c r="AW90" s="223">
        <v>151</v>
      </c>
      <c r="AX90" s="223">
        <v>140</v>
      </c>
      <c r="AY90" s="235">
        <v>0.92700000000000005</v>
      </c>
      <c r="AZ90" s="223">
        <v>136</v>
      </c>
      <c r="BA90" s="235">
        <v>0.90100000000000002</v>
      </c>
      <c r="BB90" s="223">
        <v>136</v>
      </c>
      <c r="BC90" s="232">
        <v>0.90100000000000002</v>
      </c>
    </row>
    <row r="91" spans="1:55" x14ac:dyDescent="0.25">
      <c r="A91" s="226">
        <v>1</v>
      </c>
      <c r="B91" s="211" t="s">
        <v>117</v>
      </c>
      <c r="C91" s="211">
        <v>437</v>
      </c>
      <c r="D91" s="211" t="s">
        <v>267</v>
      </c>
      <c r="E91" s="211">
        <v>103</v>
      </c>
      <c r="F91" s="211">
        <v>104</v>
      </c>
      <c r="G91" s="211"/>
      <c r="H91" s="220" t="str">
        <f>HYPERLINK("https://map.geo.admin.ch/?zoom=7&amp;E=570100&amp;N=228500&amp;layers=ch.kantone.cadastralwebmap-farbe,ch.swisstopo.amtliches-strassenverzeichnis,ch.bfs.gebaeude_wohnungs_register,KML||https://tinyurl.com/yy7ya4g9/BE/0437_bdg_erw.kml","KML building")</f>
        <v>KML building</v>
      </c>
      <c r="I91" s="154">
        <v>0</v>
      </c>
      <c r="J91" s="243" t="s">
        <v>1052</v>
      </c>
      <c r="K91" s="153">
        <v>0</v>
      </c>
      <c r="L91" s="64">
        <v>0</v>
      </c>
      <c r="M91" s="64"/>
      <c r="N91" s="200">
        <v>0</v>
      </c>
      <c r="O91" s="155"/>
      <c r="P91" s="63"/>
      <c r="Q91" s="64">
        <v>0</v>
      </c>
      <c r="R91" s="64"/>
      <c r="S91" s="200">
        <v>0</v>
      </c>
      <c r="T91" s="155"/>
      <c r="U91" s="63"/>
      <c r="V91" s="64">
        <v>0</v>
      </c>
      <c r="W91" s="64"/>
      <c r="X91" s="200">
        <v>0</v>
      </c>
      <c r="Y91" s="155"/>
      <c r="Z91" s="63"/>
      <c r="AA91" s="64">
        <v>0</v>
      </c>
      <c r="AB91" s="64"/>
      <c r="AC91" s="200">
        <v>0</v>
      </c>
      <c r="AD91" s="156"/>
      <c r="AE91" s="153"/>
      <c r="AF91" s="140">
        <v>0</v>
      </c>
      <c r="AG91" s="140"/>
      <c r="AH91" s="200">
        <v>0</v>
      </c>
      <c r="AI91" s="140"/>
      <c r="AJ91" s="153"/>
      <c r="AK91" s="140">
        <v>0</v>
      </c>
      <c r="AL91" s="140"/>
      <c r="AM91" s="200">
        <v>0</v>
      </c>
      <c r="AN91" s="156"/>
      <c r="AO91" s="230">
        <v>0</v>
      </c>
      <c r="AP91" s="223">
        <v>70</v>
      </c>
      <c r="AQ91" s="223">
        <v>66</v>
      </c>
      <c r="AR91" s="235">
        <v>0.94299999999999995</v>
      </c>
      <c r="AS91" s="223">
        <v>59</v>
      </c>
      <c r="AT91" s="235">
        <v>0.84299999999999997</v>
      </c>
      <c r="AU91" s="223">
        <v>59</v>
      </c>
      <c r="AV91" s="232">
        <v>0.84299999999999997</v>
      </c>
      <c r="AW91" s="223">
        <v>48</v>
      </c>
      <c r="AX91" s="223">
        <v>47</v>
      </c>
      <c r="AY91" s="235">
        <v>0.97899999999999998</v>
      </c>
      <c r="AZ91" s="223">
        <v>44</v>
      </c>
      <c r="BA91" s="235">
        <v>0.91700000000000004</v>
      </c>
      <c r="BB91" s="223">
        <v>44</v>
      </c>
      <c r="BC91" s="232">
        <v>0.91700000000000004</v>
      </c>
    </row>
    <row r="92" spans="1:55" x14ac:dyDescent="0.25">
      <c r="A92" s="226">
        <v>1</v>
      </c>
      <c r="B92" s="211" t="s">
        <v>117</v>
      </c>
      <c r="C92" s="211">
        <v>438</v>
      </c>
      <c r="D92" s="211" t="s">
        <v>268</v>
      </c>
      <c r="E92" s="211">
        <v>1137</v>
      </c>
      <c r="F92" s="211">
        <v>1138</v>
      </c>
      <c r="G92" s="211"/>
      <c r="H92" s="220" t="str">
        <f>HYPERLINK("https://map.geo.admin.ch/?zoom=7&amp;E=583000&amp;N=223300&amp;layers=ch.kantone.cadastralwebmap-farbe,ch.swisstopo.amtliches-strassenverzeichnis,ch.bfs.gebaeude_wohnungs_register,KML||https://tinyurl.com/yy7ya4g9/BE/0438_bdg_erw.kml","KML building")</f>
        <v>KML building</v>
      </c>
      <c r="I92" s="154">
        <v>1</v>
      </c>
      <c r="J92" s="243" t="s">
        <v>1053</v>
      </c>
      <c r="K92" s="153">
        <v>8.7950747581354446E-4</v>
      </c>
      <c r="L92" s="64">
        <v>0</v>
      </c>
      <c r="M92" s="64"/>
      <c r="N92" s="200">
        <v>0</v>
      </c>
      <c r="O92" s="155"/>
      <c r="P92" s="63"/>
      <c r="Q92" s="64">
        <v>0</v>
      </c>
      <c r="R92" s="64"/>
      <c r="S92" s="200">
        <v>0</v>
      </c>
      <c r="T92" s="155"/>
      <c r="U92" s="63"/>
      <c r="V92" s="64">
        <v>0</v>
      </c>
      <c r="W92" s="64"/>
      <c r="X92" s="200">
        <v>0</v>
      </c>
      <c r="Y92" s="155"/>
      <c r="Z92" s="63"/>
      <c r="AA92" s="64">
        <v>0</v>
      </c>
      <c r="AB92" s="64"/>
      <c r="AC92" s="200">
        <v>0</v>
      </c>
      <c r="AD92" s="156"/>
      <c r="AE92" s="153"/>
      <c r="AF92" s="140">
        <v>1</v>
      </c>
      <c r="AG92" s="140"/>
      <c r="AH92" s="200">
        <v>8.9999999999999998E-4</v>
      </c>
      <c r="AI92" s="140"/>
      <c r="AJ92" s="153"/>
      <c r="AK92" s="140">
        <v>1</v>
      </c>
      <c r="AL92" s="140"/>
      <c r="AM92" s="200">
        <v>8.9999999999999998E-4</v>
      </c>
      <c r="AN92" s="156"/>
      <c r="AO92" s="230">
        <v>1.8E-3</v>
      </c>
      <c r="AP92" s="223">
        <v>462</v>
      </c>
      <c r="AQ92" s="223">
        <v>409</v>
      </c>
      <c r="AR92" s="235">
        <v>0.88500000000000001</v>
      </c>
      <c r="AS92" s="223">
        <v>379</v>
      </c>
      <c r="AT92" s="235">
        <v>0.82</v>
      </c>
      <c r="AU92" s="223">
        <v>373</v>
      </c>
      <c r="AV92" s="232">
        <v>0.80700000000000005</v>
      </c>
      <c r="AW92" s="223">
        <v>215</v>
      </c>
      <c r="AX92" s="223">
        <v>190</v>
      </c>
      <c r="AY92" s="235">
        <v>0.88400000000000001</v>
      </c>
      <c r="AZ92" s="223">
        <v>180</v>
      </c>
      <c r="BA92" s="235">
        <v>0.83699999999999997</v>
      </c>
      <c r="BB92" s="223">
        <v>175</v>
      </c>
      <c r="BC92" s="232">
        <v>0.81399999999999995</v>
      </c>
    </row>
    <row r="93" spans="1:55" x14ac:dyDescent="0.25">
      <c r="A93" s="226">
        <v>1</v>
      </c>
      <c r="B93" s="211" t="s">
        <v>117</v>
      </c>
      <c r="C93" s="211">
        <v>441</v>
      </c>
      <c r="D93" s="211" t="s">
        <v>269</v>
      </c>
      <c r="E93" s="211">
        <v>595</v>
      </c>
      <c r="F93" s="211">
        <v>596</v>
      </c>
      <c r="G93" s="211"/>
      <c r="H93" s="220" t="str">
        <f>HYPERLINK("https://map.geo.admin.ch/?zoom=7&amp;E=561300&amp;N=219600&amp;layers=ch.kantone.cadastralwebmap-farbe,ch.swisstopo.amtliches-strassenverzeichnis,ch.bfs.gebaeude_wohnungs_register,KML||https://tinyurl.com/yy7ya4g9/BE/0441_bdg_erw.kml","KML building")</f>
        <v>KML building</v>
      </c>
      <c r="I93" s="154">
        <v>0</v>
      </c>
      <c r="J93" s="243" t="s">
        <v>1054</v>
      </c>
      <c r="K93" s="153">
        <v>0</v>
      </c>
      <c r="L93" s="64">
        <v>0</v>
      </c>
      <c r="M93" s="64"/>
      <c r="N93" s="200">
        <v>0</v>
      </c>
      <c r="O93" s="155"/>
      <c r="P93" s="63"/>
      <c r="Q93" s="64">
        <v>0</v>
      </c>
      <c r="R93" s="64"/>
      <c r="S93" s="200">
        <v>0</v>
      </c>
      <c r="T93" s="155"/>
      <c r="U93" s="63"/>
      <c r="V93" s="64">
        <v>0</v>
      </c>
      <c r="W93" s="64"/>
      <c r="X93" s="200">
        <v>0</v>
      </c>
      <c r="Y93" s="155"/>
      <c r="Z93" s="63"/>
      <c r="AA93" s="64">
        <v>0</v>
      </c>
      <c r="AB93" s="64"/>
      <c r="AC93" s="200">
        <v>0</v>
      </c>
      <c r="AD93" s="156"/>
      <c r="AE93" s="153"/>
      <c r="AF93" s="140">
        <v>0</v>
      </c>
      <c r="AG93" s="140"/>
      <c r="AH93" s="200">
        <v>0</v>
      </c>
      <c r="AI93" s="140"/>
      <c r="AJ93" s="153"/>
      <c r="AK93" s="140">
        <v>0</v>
      </c>
      <c r="AL93" s="140"/>
      <c r="AM93" s="200">
        <v>0</v>
      </c>
      <c r="AN93" s="156"/>
      <c r="AO93" s="230">
        <v>0</v>
      </c>
      <c r="AP93" s="223">
        <v>302</v>
      </c>
      <c r="AQ93" s="223">
        <v>244</v>
      </c>
      <c r="AR93" s="235">
        <v>0.80800000000000005</v>
      </c>
      <c r="AS93" s="223">
        <v>224</v>
      </c>
      <c r="AT93" s="235">
        <v>0.74199999999999999</v>
      </c>
      <c r="AU93" s="223">
        <v>210</v>
      </c>
      <c r="AV93" s="232">
        <v>0.69499999999999995</v>
      </c>
      <c r="AW93" s="223">
        <v>193</v>
      </c>
      <c r="AX93" s="223">
        <v>183</v>
      </c>
      <c r="AY93" s="235">
        <v>0.94799999999999995</v>
      </c>
      <c r="AZ93" s="223">
        <v>163</v>
      </c>
      <c r="BA93" s="235">
        <v>0.84499999999999997</v>
      </c>
      <c r="BB93" s="223">
        <v>160</v>
      </c>
      <c r="BC93" s="232">
        <v>0.82899999999999996</v>
      </c>
    </row>
    <row r="94" spans="1:55" x14ac:dyDescent="0.25">
      <c r="A94" s="226">
        <v>1</v>
      </c>
      <c r="B94" s="211" t="s">
        <v>117</v>
      </c>
      <c r="C94" s="211">
        <v>442</v>
      </c>
      <c r="D94" s="211" t="s">
        <v>270</v>
      </c>
      <c r="E94" s="211">
        <v>203</v>
      </c>
      <c r="F94" s="211">
        <v>204</v>
      </c>
      <c r="G94" s="211"/>
      <c r="H94" s="220" t="str">
        <f>HYPERLINK("https://map.geo.admin.ch/?zoom=7&amp;E=592600&amp;N=226400&amp;layers=ch.kantone.cadastralwebmap-farbe,ch.swisstopo.amtliches-strassenverzeichnis,ch.bfs.gebaeude_wohnungs_register,KML||https://tinyurl.com/yy7ya4g9/BE/0442_bdg_erw.kml","KML building")</f>
        <v>KML building</v>
      </c>
      <c r="I94" s="154">
        <v>3</v>
      </c>
      <c r="J94" s="243" t="s">
        <v>1055</v>
      </c>
      <c r="K94" s="153">
        <v>1.4778325123152709E-2</v>
      </c>
      <c r="L94" s="64">
        <v>0</v>
      </c>
      <c r="M94" s="64"/>
      <c r="N94" s="200">
        <v>0</v>
      </c>
      <c r="O94" s="155"/>
      <c r="P94" s="63"/>
      <c r="Q94" s="64">
        <v>0</v>
      </c>
      <c r="R94" s="64"/>
      <c r="S94" s="200">
        <v>0</v>
      </c>
      <c r="T94" s="155"/>
      <c r="U94" s="63"/>
      <c r="V94" s="64">
        <v>0</v>
      </c>
      <c r="W94" s="64"/>
      <c r="X94" s="200">
        <v>0</v>
      </c>
      <c r="Y94" s="155"/>
      <c r="Z94" s="63"/>
      <c r="AA94" s="64">
        <v>0</v>
      </c>
      <c r="AB94" s="64"/>
      <c r="AC94" s="200">
        <v>0</v>
      </c>
      <c r="AD94" s="156"/>
      <c r="AE94" s="153"/>
      <c r="AF94" s="140">
        <v>0</v>
      </c>
      <c r="AG94" s="140"/>
      <c r="AH94" s="200">
        <v>0</v>
      </c>
      <c r="AI94" s="140"/>
      <c r="AJ94" s="153"/>
      <c r="AK94" s="140">
        <v>0</v>
      </c>
      <c r="AL94" s="140"/>
      <c r="AM94" s="200">
        <v>0</v>
      </c>
      <c r="AN94" s="156"/>
      <c r="AO94" s="230">
        <v>0</v>
      </c>
      <c r="AP94" s="223">
        <v>105</v>
      </c>
      <c r="AQ94" s="223">
        <v>88</v>
      </c>
      <c r="AR94" s="235">
        <v>0.83799999999999997</v>
      </c>
      <c r="AS94" s="223">
        <v>81</v>
      </c>
      <c r="AT94" s="235">
        <v>0.77100000000000002</v>
      </c>
      <c r="AU94" s="223">
        <v>81</v>
      </c>
      <c r="AV94" s="232">
        <v>0.77100000000000002</v>
      </c>
      <c r="AW94" s="223">
        <v>56</v>
      </c>
      <c r="AX94" s="223">
        <v>54</v>
      </c>
      <c r="AY94" s="235">
        <v>0.96399999999999997</v>
      </c>
      <c r="AZ94" s="223">
        <v>49</v>
      </c>
      <c r="BA94" s="235">
        <v>0.875</v>
      </c>
      <c r="BB94" s="223">
        <v>49</v>
      </c>
      <c r="BC94" s="232">
        <v>0.875</v>
      </c>
    </row>
    <row r="95" spans="1:55" x14ac:dyDescent="0.25">
      <c r="A95" s="226">
        <v>1</v>
      </c>
      <c r="B95" s="211" t="s">
        <v>117</v>
      </c>
      <c r="C95" s="219">
        <v>443</v>
      </c>
      <c r="D95" s="211" t="s">
        <v>271</v>
      </c>
      <c r="E95" s="211">
        <v>2136</v>
      </c>
      <c r="F95" s="211">
        <v>2152</v>
      </c>
      <c r="G95" s="211"/>
      <c r="H95" s="220" t="str">
        <f>HYPERLINK("https://map.geo.admin.ch/?zoom=7&amp;E=566600&amp;N=222000&amp;layers=ch.kantone.cadastralwebmap-farbe,ch.swisstopo.amtliches-strassenverzeichnis,ch.bfs.gebaeude_wohnungs_register,KML||https://tinyurl.com/yy7ya4g9/BE/0443_bdg_erw.kml","KML building")</f>
        <v>KML building</v>
      </c>
      <c r="I95" s="154">
        <v>6</v>
      </c>
      <c r="J95" s="243" t="s">
        <v>1056</v>
      </c>
      <c r="K95" s="153">
        <v>2.8089887640449437E-3</v>
      </c>
      <c r="L95" s="64">
        <v>0</v>
      </c>
      <c r="M95" s="64"/>
      <c r="N95" s="200">
        <v>0</v>
      </c>
      <c r="O95" s="155"/>
      <c r="P95" s="63"/>
      <c r="Q95" s="64">
        <v>0</v>
      </c>
      <c r="R95" s="64"/>
      <c r="S95" s="200">
        <v>0</v>
      </c>
      <c r="T95" s="155"/>
      <c r="U95" s="63"/>
      <c r="V95" s="64">
        <v>0</v>
      </c>
      <c r="W95" s="64"/>
      <c r="X95" s="200">
        <v>0</v>
      </c>
      <c r="Y95" s="155"/>
      <c r="Z95" s="63"/>
      <c r="AA95" s="64">
        <v>2</v>
      </c>
      <c r="AB95" s="64"/>
      <c r="AC95" s="200">
        <v>8.9999999999999998E-4</v>
      </c>
      <c r="AD95" s="156"/>
      <c r="AE95" s="153"/>
      <c r="AF95" s="140">
        <v>6</v>
      </c>
      <c r="AG95" s="140"/>
      <c r="AH95" s="200">
        <v>2.8E-3</v>
      </c>
      <c r="AI95" s="140"/>
      <c r="AJ95" s="153"/>
      <c r="AK95" s="140">
        <v>0</v>
      </c>
      <c r="AL95" s="140"/>
      <c r="AM95" s="200">
        <v>0</v>
      </c>
      <c r="AN95" s="156"/>
      <c r="AO95" s="230">
        <v>3.7000000000000002E-3</v>
      </c>
      <c r="AP95" s="223">
        <v>952</v>
      </c>
      <c r="AQ95" s="223">
        <v>789</v>
      </c>
      <c r="AR95" s="235">
        <v>0.82899999999999996</v>
      </c>
      <c r="AS95" s="223">
        <v>714</v>
      </c>
      <c r="AT95" s="235">
        <v>0.75</v>
      </c>
      <c r="AU95" s="223">
        <v>700</v>
      </c>
      <c r="AV95" s="232">
        <v>0.73499999999999999</v>
      </c>
      <c r="AW95" s="223">
        <v>629</v>
      </c>
      <c r="AX95" s="223">
        <v>576</v>
      </c>
      <c r="AY95" s="235">
        <v>0.91600000000000004</v>
      </c>
      <c r="AZ95" s="223">
        <v>528</v>
      </c>
      <c r="BA95" s="235">
        <v>0.83899999999999997</v>
      </c>
      <c r="BB95" s="223">
        <v>515</v>
      </c>
      <c r="BC95" s="232">
        <v>0.81899999999999995</v>
      </c>
    </row>
    <row r="96" spans="1:55" x14ac:dyDescent="0.25">
      <c r="A96" s="226">
        <v>1</v>
      </c>
      <c r="B96" s="211" t="s">
        <v>117</v>
      </c>
      <c r="C96" s="211">
        <v>444</v>
      </c>
      <c r="D96" s="211" t="s">
        <v>272</v>
      </c>
      <c r="E96" s="211">
        <v>949</v>
      </c>
      <c r="F96" s="211">
        <v>953</v>
      </c>
      <c r="G96" s="211"/>
      <c r="H96" s="220" t="str">
        <f>HYPERLINK("https://map.geo.admin.ch/?zoom=7&amp;E=580300&amp;N=227300&amp;layers=ch.kantone.cadastralwebmap-farbe,ch.swisstopo.amtliches-strassenverzeichnis,ch.bfs.gebaeude_wohnungs_register,KML||https://tinyurl.com/yy7ya4g9/BE/0444_bdg_erw.kml","KML building")</f>
        <v>KML building</v>
      </c>
      <c r="I96" s="154">
        <v>0</v>
      </c>
      <c r="J96" s="243" t="s">
        <v>1057</v>
      </c>
      <c r="K96" s="153">
        <v>0</v>
      </c>
      <c r="L96" s="64">
        <v>0</v>
      </c>
      <c r="M96" s="64"/>
      <c r="N96" s="200">
        <v>0</v>
      </c>
      <c r="O96" s="155"/>
      <c r="P96" s="63"/>
      <c r="Q96" s="64">
        <v>0</v>
      </c>
      <c r="R96" s="64"/>
      <c r="S96" s="200">
        <v>0</v>
      </c>
      <c r="T96" s="155"/>
      <c r="U96" s="63"/>
      <c r="V96" s="64">
        <v>0</v>
      </c>
      <c r="W96" s="64"/>
      <c r="X96" s="200">
        <v>0</v>
      </c>
      <c r="Y96" s="155"/>
      <c r="Z96" s="63"/>
      <c r="AA96" s="64">
        <v>0</v>
      </c>
      <c r="AB96" s="64"/>
      <c r="AC96" s="200">
        <v>0</v>
      </c>
      <c r="AD96" s="156"/>
      <c r="AE96" s="153"/>
      <c r="AF96" s="140">
        <v>1</v>
      </c>
      <c r="AG96" s="140"/>
      <c r="AH96" s="200">
        <v>1.1000000000000001E-3</v>
      </c>
      <c r="AI96" s="140"/>
      <c r="AJ96" s="153"/>
      <c r="AK96" s="140">
        <v>0</v>
      </c>
      <c r="AL96" s="140"/>
      <c r="AM96" s="200">
        <v>0</v>
      </c>
      <c r="AN96" s="156"/>
      <c r="AO96" s="230">
        <v>1.1000000000000001E-3</v>
      </c>
      <c r="AP96" s="223">
        <v>423</v>
      </c>
      <c r="AQ96" s="223">
        <v>369</v>
      </c>
      <c r="AR96" s="235">
        <v>0.872</v>
      </c>
      <c r="AS96" s="223">
        <v>321</v>
      </c>
      <c r="AT96" s="235">
        <v>0.75900000000000001</v>
      </c>
      <c r="AU96" s="223">
        <v>319</v>
      </c>
      <c r="AV96" s="232">
        <v>0.754</v>
      </c>
      <c r="AW96" s="223">
        <v>213</v>
      </c>
      <c r="AX96" s="223">
        <v>193</v>
      </c>
      <c r="AY96" s="235">
        <v>0.90600000000000003</v>
      </c>
      <c r="AZ96" s="223">
        <v>170</v>
      </c>
      <c r="BA96" s="235">
        <v>0.79800000000000004</v>
      </c>
      <c r="BB96" s="223">
        <v>168</v>
      </c>
      <c r="BC96" s="232">
        <v>0.78900000000000003</v>
      </c>
    </row>
    <row r="97" spans="1:55" x14ac:dyDescent="0.25">
      <c r="A97" s="226">
        <v>1</v>
      </c>
      <c r="B97" s="211" t="s">
        <v>117</v>
      </c>
      <c r="C97" s="211">
        <v>445</v>
      </c>
      <c r="D97" s="211" t="s">
        <v>273</v>
      </c>
      <c r="E97" s="211">
        <v>804</v>
      </c>
      <c r="F97" s="211">
        <v>805</v>
      </c>
      <c r="G97" s="211"/>
      <c r="H97" s="220" t="str">
        <f>HYPERLINK("https://map.geo.admin.ch/?zoom=7&amp;E=564000&amp;N=221000&amp;layers=ch.kantone.cadastralwebmap-farbe,ch.swisstopo.amtliches-strassenverzeichnis,ch.bfs.gebaeude_wohnungs_register,KML||https://tinyurl.com/yy7ya4g9/BE/0445_bdg_erw.kml","KML building")</f>
        <v>KML building</v>
      </c>
      <c r="I97" s="154">
        <v>0</v>
      </c>
      <c r="J97" s="243" t="s">
        <v>1058</v>
      </c>
      <c r="K97" s="153">
        <v>0</v>
      </c>
      <c r="L97" s="64">
        <v>0</v>
      </c>
      <c r="M97" s="64"/>
      <c r="N97" s="200">
        <v>0</v>
      </c>
      <c r="O97" s="155"/>
      <c r="P97" s="63"/>
      <c r="Q97" s="64">
        <v>0</v>
      </c>
      <c r="R97" s="64"/>
      <c r="S97" s="200">
        <v>0</v>
      </c>
      <c r="T97" s="155"/>
      <c r="U97" s="63"/>
      <c r="V97" s="64">
        <v>0</v>
      </c>
      <c r="W97" s="64"/>
      <c r="X97" s="200">
        <v>0</v>
      </c>
      <c r="Y97" s="155"/>
      <c r="Z97" s="63"/>
      <c r="AA97" s="64">
        <v>0</v>
      </c>
      <c r="AB97" s="64"/>
      <c r="AC97" s="200">
        <v>0</v>
      </c>
      <c r="AD97" s="156"/>
      <c r="AE97" s="153"/>
      <c r="AF97" s="140">
        <v>0</v>
      </c>
      <c r="AG97" s="140"/>
      <c r="AH97" s="200">
        <v>0</v>
      </c>
      <c r="AI97" s="140"/>
      <c r="AJ97" s="153"/>
      <c r="AK97" s="140">
        <v>0</v>
      </c>
      <c r="AL97" s="140"/>
      <c r="AM97" s="200">
        <v>0</v>
      </c>
      <c r="AN97" s="156"/>
      <c r="AO97" s="230">
        <v>0</v>
      </c>
      <c r="AP97" s="223">
        <v>405</v>
      </c>
      <c r="AQ97" s="223">
        <v>361</v>
      </c>
      <c r="AR97" s="235">
        <v>0.89100000000000001</v>
      </c>
      <c r="AS97" s="223">
        <v>304</v>
      </c>
      <c r="AT97" s="235">
        <v>0.751</v>
      </c>
      <c r="AU97" s="223">
        <v>298</v>
      </c>
      <c r="AV97" s="232">
        <v>0.73599999999999999</v>
      </c>
      <c r="AW97" s="223">
        <v>260</v>
      </c>
      <c r="AX97" s="223">
        <v>243</v>
      </c>
      <c r="AY97" s="235">
        <v>0.93500000000000005</v>
      </c>
      <c r="AZ97" s="223">
        <v>210</v>
      </c>
      <c r="BA97" s="235">
        <v>0.80800000000000005</v>
      </c>
      <c r="BB97" s="223">
        <v>206</v>
      </c>
      <c r="BC97" s="232">
        <v>0.79200000000000004</v>
      </c>
    </row>
    <row r="98" spans="1:55" x14ac:dyDescent="0.25">
      <c r="A98" s="226">
        <v>1</v>
      </c>
      <c r="B98" s="211" t="s">
        <v>117</v>
      </c>
      <c r="C98" s="211">
        <v>446</v>
      </c>
      <c r="D98" s="211" t="s">
        <v>274</v>
      </c>
      <c r="E98" s="211">
        <v>2248</v>
      </c>
      <c r="F98" s="211">
        <v>2259</v>
      </c>
      <c r="G98" s="211"/>
      <c r="H98" s="220" t="str">
        <f>HYPERLINK("https://map.geo.admin.ch/?zoom=7&amp;E=574500&amp;N=230300&amp;layers=ch.kantone.cadastralwebmap-farbe,ch.swisstopo.amtliches-strassenverzeichnis,ch.bfs.gebaeude_wohnungs_register,KML||https://tinyurl.com/yy7ya4g9/BE/0446_bdg_erw.kml","KML building")</f>
        <v>KML building</v>
      </c>
      <c r="I98" s="154">
        <v>0</v>
      </c>
      <c r="J98" s="243" t="s">
        <v>1059</v>
      </c>
      <c r="K98" s="153">
        <v>0</v>
      </c>
      <c r="L98" s="64">
        <v>0</v>
      </c>
      <c r="M98" s="64"/>
      <c r="N98" s="200">
        <v>0</v>
      </c>
      <c r="O98" s="155"/>
      <c r="P98" s="63"/>
      <c r="Q98" s="64">
        <v>0</v>
      </c>
      <c r="R98" s="64"/>
      <c r="S98" s="200">
        <v>0</v>
      </c>
      <c r="T98" s="155"/>
      <c r="U98" s="63"/>
      <c r="V98" s="64">
        <v>0</v>
      </c>
      <c r="W98" s="64"/>
      <c r="X98" s="200">
        <v>0</v>
      </c>
      <c r="Y98" s="155"/>
      <c r="Z98" s="63"/>
      <c r="AA98" s="64">
        <v>0</v>
      </c>
      <c r="AB98" s="64"/>
      <c r="AC98" s="200">
        <v>0</v>
      </c>
      <c r="AD98" s="156"/>
      <c r="AE98" s="153"/>
      <c r="AF98" s="140">
        <v>1</v>
      </c>
      <c r="AG98" s="140"/>
      <c r="AH98" s="200">
        <v>4.0000000000000002E-4</v>
      </c>
      <c r="AI98" s="140"/>
      <c r="AJ98" s="153"/>
      <c r="AK98" s="140">
        <v>0</v>
      </c>
      <c r="AL98" s="140"/>
      <c r="AM98" s="200">
        <v>0</v>
      </c>
      <c r="AN98" s="156"/>
      <c r="AO98" s="230">
        <v>4.0000000000000002E-4</v>
      </c>
      <c r="AP98" s="223">
        <v>1024</v>
      </c>
      <c r="AQ98" s="223">
        <v>842</v>
      </c>
      <c r="AR98" s="235">
        <v>0.82199999999999995</v>
      </c>
      <c r="AS98" s="223">
        <v>788</v>
      </c>
      <c r="AT98" s="235">
        <v>0.77</v>
      </c>
      <c r="AU98" s="223">
        <v>727</v>
      </c>
      <c r="AV98" s="232">
        <v>0.71</v>
      </c>
      <c r="AW98" s="223">
        <v>630</v>
      </c>
      <c r="AX98" s="223">
        <v>586</v>
      </c>
      <c r="AY98" s="235">
        <v>0.93</v>
      </c>
      <c r="AZ98" s="223">
        <v>529</v>
      </c>
      <c r="BA98" s="235">
        <v>0.84</v>
      </c>
      <c r="BB98" s="223">
        <v>521</v>
      </c>
      <c r="BC98" s="232">
        <v>0.82699999999999996</v>
      </c>
    </row>
    <row r="99" spans="1:55" x14ac:dyDescent="0.25">
      <c r="A99" s="226">
        <v>1</v>
      </c>
      <c r="B99" s="211" t="s">
        <v>117</v>
      </c>
      <c r="C99" s="211">
        <v>448</v>
      </c>
      <c r="D99" s="211" t="s">
        <v>275</v>
      </c>
      <c r="E99" s="211">
        <v>637</v>
      </c>
      <c r="F99" s="211">
        <v>638</v>
      </c>
      <c r="G99" s="211"/>
      <c r="H99" s="220" t="str">
        <f>HYPERLINK("https://map.geo.admin.ch/?zoom=7&amp;E=568200&amp;N=223100&amp;layers=ch.kantone.cadastralwebmap-farbe,ch.swisstopo.amtliches-strassenverzeichnis,ch.bfs.gebaeude_wohnungs_register,KML||https://tinyurl.com/yy7ya4g9/BE/0448_bdg_erw.kml","KML building")</f>
        <v>KML building</v>
      </c>
      <c r="I99" s="154">
        <v>1</v>
      </c>
      <c r="J99" s="243" t="s">
        <v>1060</v>
      </c>
      <c r="K99" s="153">
        <v>1.5698587127158557E-3</v>
      </c>
      <c r="L99" s="64">
        <v>0</v>
      </c>
      <c r="M99" s="64"/>
      <c r="N99" s="200">
        <v>0</v>
      </c>
      <c r="O99" s="155"/>
      <c r="P99" s="63"/>
      <c r="Q99" s="64">
        <v>0</v>
      </c>
      <c r="R99" s="64"/>
      <c r="S99" s="200">
        <v>0</v>
      </c>
      <c r="T99" s="155"/>
      <c r="U99" s="63"/>
      <c r="V99" s="64">
        <v>0</v>
      </c>
      <c r="W99" s="64"/>
      <c r="X99" s="200">
        <v>0</v>
      </c>
      <c r="Y99" s="155"/>
      <c r="Z99" s="63"/>
      <c r="AA99" s="64">
        <v>0</v>
      </c>
      <c r="AB99" s="64"/>
      <c r="AC99" s="200">
        <v>0</v>
      </c>
      <c r="AD99" s="156"/>
      <c r="AE99" s="153"/>
      <c r="AF99" s="140">
        <v>0</v>
      </c>
      <c r="AG99" s="140"/>
      <c r="AH99" s="200">
        <v>0</v>
      </c>
      <c r="AI99" s="140"/>
      <c r="AJ99" s="153"/>
      <c r="AK99" s="140">
        <v>2</v>
      </c>
      <c r="AL99" s="140"/>
      <c r="AM99" s="200">
        <v>3.0999999999999999E-3</v>
      </c>
      <c r="AN99" s="156"/>
      <c r="AO99" s="230">
        <v>3.0999999999999999E-3</v>
      </c>
      <c r="AP99" s="223">
        <v>315</v>
      </c>
      <c r="AQ99" s="223">
        <v>288</v>
      </c>
      <c r="AR99" s="235">
        <v>0.91400000000000003</v>
      </c>
      <c r="AS99" s="223">
        <v>251</v>
      </c>
      <c r="AT99" s="235">
        <v>0.79700000000000004</v>
      </c>
      <c r="AU99" s="223">
        <v>249</v>
      </c>
      <c r="AV99" s="232">
        <v>0.79</v>
      </c>
      <c r="AW99" s="223">
        <v>168</v>
      </c>
      <c r="AX99" s="223">
        <v>160</v>
      </c>
      <c r="AY99" s="235">
        <v>0.95199999999999996</v>
      </c>
      <c r="AZ99" s="223">
        <v>138</v>
      </c>
      <c r="BA99" s="235">
        <v>0.82099999999999995</v>
      </c>
      <c r="BB99" s="223">
        <v>136</v>
      </c>
      <c r="BC99" s="232">
        <v>0.81</v>
      </c>
    </row>
    <row r="100" spans="1:55" x14ac:dyDescent="0.25">
      <c r="A100" s="226">
        <v>1</v>
      </c>
      <c r="B100" s="211" t="s">
        <v>117</v>
      </c>
      <c r="C100" s="211">
        <v>449</v>
      </c>
      <c r="D100" s="211" t="s">
        <v>276</v>
      </c>
      <c r="E100" s="211">
        <v>912</v>
      </c>
      <c r="F100" s="211">
        <v>918</v>
      </c>
      <c r="G100" s="211"/>
      <c r="H100" s="220" t="str">
        <f>HYPERLINK("https://map.geo.admin.ch/?zoom=7&amp;E=588500&amp;N=226400&amp;layers=ch.kantone.cadastralwebmap-farbe,ch.swisstopo.amtliches-strassenverzeichnis,ch.bfs.gebaeude_wohnungs_register,KML||https://tinyurl.com/yy7ya4g9/BE/0449_bdg_erw.kml","KML building")</f>
        <v>KML building</v>
      </c>
      <c r="I100" s="154">
        <v>0</v>
      </c>
      <c r="J100" s="243" t="s">
        <v>1061</v>
      </c>
      <c r="K100" s="153">
        <v>0</v>
      </c>
      <c r="L100" s="64">
        <v>0</v>
      </c>
      <c r="M100" s="64"/>
      <c r="N100" s="200">
        <v>0</v>
      </c>
      <c r="O100" s="155"/>
      <c r="P100" s="63"/>
      <c r="Q100" s="64">
        <v>0</v>
      </c>
      <c r="R100" s="64"/>
      <c r="S100" s="200">
        <v>0</v>
      </c>
      <c r="T100" s="155"/>
      <c r="U100" s="63"/>
      <c r="V100" s="64">
        <v>0</v>
      </c>
      <c r="W100" s="64"/>
      <c r="X100" s="200">
        <v>0</v>
      </c>
      <c r="Y100" s="155"/>
      <c r="Z100" s="63"/>
      <c r="AA100" s="64">
        <v>0</v>
      </c>
      <c r="AB100" s="64"/>
      <c r="AC100" s="200">
        <v>0</v>
      </c>
      <c r="AD100" s="156"/>
      <c r="AE100" s="153"/>
      <c r="AF100" s="140">
        <v>0</v>
      </c>
      <c r="AG100" s="140"/>
      <c r="AH100" s="200">
        <v>0</v>
      </c>
      <c r="AI100" s="140"/>
      <c r="AJ100" s="153"/>
      <c r="AK100" s="140">
        <v>0</v>
      </c>
      <c r="AL100" s="140"/>
      <c r="AM100" s="200">
        <v>0</v>
      </c>
      <c r="AN100" s="156"/>
      <c r="AO100" s="230">
        <v>0</v>
      </c>
      <c r="AP100" s="223">
        <v>422</v>
      </c>
      <c r="AQ100" s="223">
        <v>390</v>
      </c>
      <c r="AR100" s="235">
        <v>0.92400000000000004</v>
      </c>
      <c r="AS100" s="223">
        <v>309</v>
      </c>
      <c r="AT100" s="235">
        <v>0.73199999999999998</v>
      </c>
      <c r="AU100" s="223">
        <v>302</v>
      </c>
      <c r="AV100" s="232">
        <v>0.71599999999999997</v>
      </c>
      <c r="AW100" s="223">
        <v>193</v>
      </c>
      <c r="AX100" s="223">
        <v>190</v>
      </c>
      <c r="AY100" s="235">
        <v>0.98399999999999999</v>
      </c>
      <c r="AZ100" s="223">
        <v>165</v>
      </c>
      <c r="BA100" s="235">
        <v>0.85499999999999998</v>
      </c>
      <c r="BB100" s="223">
        <v>162</v>
      </c>
      <c r="BC100" s="232">
        <v>0.83899999999999997</v>
      </c>
    </row>
    <row r="101" spans="1:55" x14ac:dyDescent="0.25">
      <c r="A101" s="226">
        <v>1</v>
      </c>
      <c r="B101" s="211" t="s">
        <v>117</v>
      </c>
      <c r="C101" s="211">
        <v>450</v>
      </c>
      <c r="D101" s="211" t="s">
        <v>277</v>
      </c>
      <c r="E101" s="211">
        <v>1148</v>
      </c>
      <c r="F101" s="211">
        <v>1152</v>
      </c>
      <c r="G101" s="211"/>
      <c r="H101" s="220" t="str">
        <f>HYPERLINK("https://map.geo.admin.ch/?zoom=7&amp;E=585700&amp;N=227000&amp;layers=ch.kantone.cadastralwebmap-farbe,ch.swisstopo.amtliches-strassenverzeichnis,ch.bfs.gebaeude_wohnungs_register,KML||https://tinyurl.com/yy7ya4g9/BE/0450_bdg_erw.kml","KML building")</f>
        <v>KML building</v>
      </c>
      <c r="I101" s="154">
        <v>3</v>
      </c>
      <c r="J101" s="243" t="s">
        <v>1062</v>
      </c>
      <c r="K101" s="153">
        <v>2.6132404181184671E-3</v>
      </c>
      <c r="L101" s="64">
        <v>0</v>
      </c>
      <c r="M101" s="64"/>
      <c r="N101" s="200">
        <v>0</v>
      </c>
      <c r="O101" s="155"/>
      <c r="P101" s="63"/>
      <c r="Q101" s="64">
        <v>0</v>
      </c>
      <c r="R101" s="64"/>
      <c r="S101" s="200">
        <v>0</v>
      </c>
      <c r="T101" s="155"/>
      <c r="U101" s="63"/>
      <c r="V101" s="64">
        <v>0</v>
      </c>
      <c r="W101" s="64"/>
      <c r="X101" s="200">
        <v>0</v>
      </c>
      <c r="Y101" s="155"/>
      <c r="Z101" s="63"/>
      <c r="AA101" s="64">
        <v>0</v>
      </c>
      <c r="AB101" s="64"/>
      <c r="AC101" s="200">
        <v>0</v>
      </c>
      <c r="AD101" s="156"/>
      <c r="AE101" s="153"/>
      <c r="AF101" s="140">
        <v>0</v>
      </c>
      <c r="AG101" s="140"/>
      <c r="AH101" s="200">
        <v>0</v>
      </c>
      <c r="AI101" s="140"/>
      <c r="AJ101" s="153"/>
      <c r="AK101" s="140">
        <v>0</v>
      </c>
      <c r="AL101" s="140"/>
      <c r="AM101" s="200">
        <v>0</v>
      </c>
      <c r="AN101" s="156"/>
      <c r="AO101" s="230">
        <v>0</v>
      </c>
      <c r="AP101" s="223">
        <v>524</v>
      </c>
      <c r="AQ101" s="223">
        <v>430</v>
      </c>
      <c r="AR101" s="235">
        <v>0.82099999999999995</v>
      </c>
      <c r="AS101" s="223">
        <v>403</v>
      </c>
      <c r="AT101" s="235">
        <v>0.76900000000000002</v>
      </c>
      <c r="AU101" s="223">
        <v>371</v>
      </c>
      <c r="AV101" s="232">
        <v>0.70799999999999996</v>
      </c>
      <c r="AW101" s="223">
        <v>280</v>
      </c>
      <c r="AX101" s="223">
        <v>269</v>
      </c>
      <c r="AY101" s="235">
        <v>0.96099999999999997</v>
      </c>
      <c r="AZ101" s="223">
        <v>251</v>
      </c>
      <c r="BA101" s="235">
        <v>0.89600000000000002</v>
      </c>
      <c r="BB101" s="223">
        <v>249</v>
      </c>
      <c r="BC101" s="232">
        <v>0.88900000000000001</v>
      </c>
    </row>
    <row r="102" spans="1:55" x14ac:dyDescent="0.25">
      <c r="A102" s="226">
        <v>1</v>
      </c>
      <c r="B102" s="211" t="s">
        <v>117</v>
      </c>
      <c r="C102" s="211">
        <v>491</v>
      </c>
      <c r="D102" s="211" t="s">
        <v>278</v>
      </c>
      <c r="E102" s="211">
        <v>433</v>
      </c>
      <c r="F102" s="211">
        <v>437</v>
      </c>
      <c r="G102" s="211"/>
      <c r="H102" s="220" t="str">
        <f>HYPERLINK("https://map.geo.admin.ch/?zoom=7&amp;E=577900&amp;N=208000&amp;layers=ch.kantone.cadastralwebmap-farbe,ch.swisstopo.amtliches-strassenverzeichnis,ch.bfs.gebaeude_wohnungs_register,KML||https://tinyurl.com/yy7ya4g9/BE/0491_bdg_erw.kml","KML building")</f>
        <v>KML building</v>
      </c>
      <c r="I102" s="154">
        <v>1</v>
      </c>
      <c r="J102" s="243" t="s">
        <v>1063</v>
      </c>
      <c r="K102" s="153">
        <v>2.3094688221709007E-3</v>
      </c>
      <c r="L102" s="64">
        <v>0</v>
      </c>
      <c r="M102" s="64"/>
      <c r="N102" s="200">
        <v>0</v>
      </c>
      <c r="O102" s="155"/>
      <c r="P102" s="63"/>
      <c r="Q102" s="64">
        <v>0</v>
      </c>
      <c r="R102" s="64"/>
      <c r="S102" s="200">
        <v>0</v>
      </c>
      <c r="T102" s="155"/>
      <c r="U102" s="63"/>
      <c r="V102" s="64">
        <v>0</v>
      </c>
      <c r="W102" s="64"/>
      <c r="X102" s="200">
        <v>0</v>
      </c>
      <c r="Y102" s="155"/>
      <c r="Z102" s="63"/>
      <c r="AA102" s="64">
        <v>0</v>
      </c>
      <c r="AB102" s="64"/>
      <c r="AC102" s="200">
        <v>0</v>
      </c>
      <c r="AD102" s="156"/>
      <c r="AE102" s="153"/>
      <c r="AF102" s="140">
        <v>0</v>
      </c>
      <c r="AG102" s="140"/>
      <c r="AH102" s="200">
        <v>0</v>
      </c>
      <c r="AI102" s="140"/>
      <c r="AJ102" s="153"/>
      <c r="AK102" s="140">
        <v>0</v>
      </c>
      <c r="AL102" s="140"/>
      <c r="AM102" s="200">
        <v>0</v>
      </c>
      <c r="AN102" s="156"/>
      <c r="AO102" s="230">
        <v>0</v>
      </c>
      <c r="AP102" s="223">
        <v>208</v>
      </c>
      <c r="AQ102" s="223">
        <v>171</v>
      </c>
      <c r="AR102" s="235">
        <v>0.82199999999999995</v>
      </c>
      <c r="AS102" s="223">
        <v>148</v>
      </c>
      <c r="AT102" s="235">
        <v>0.71199999999999997</v>
      </c>
      <c r="AU102" s="223">
        <v>147</v>
      </c>
      <c r="AV102" s="232">
        <v>0.70699999999999996</v>
      </c>
      <c r="AW102" s="223">
        <v>121</v>
      </c>
      <c r="AX102" s="223">
        <v>118</v>
      </c>
      <c r="AY102" s="235">
        <v>0.97499999999999998</v>
      </c>
      <c r="AZ102" s="223">
        <v>106</v>
      </c>
      <c r="BA102" s="235">
        <v>0.876</v>
      </c>
      <c r="BB102" s="223">
        <v>105</v>
      </c>
      <c r="BC102" s="232">
        <v>0.86799999999999999</v>
      </c>
    </row>
    <row r="103" spans="1:55" x14ac:dyDescent="0.25">
      <c r="A103" s="226">
        <v>1</v>
      </c>
      <c r="B103" s="211" t="s">
        <v>117</v>
      </c>
      <c r="C103" s="211">
        <v>492</v>
      </c>
      <c r="D103" s="211" t="s">
        <v>279</v>
      </c>
      <c r="E103" s="211">
        <v>686</v>
      </c>
      <c r="F103" s="211">
        <v>689</v>
      </c>
      <c r="G103" s="211"/>
      <c r="H103" s="220" t="str">
        <f>HYPERLINK("https://map.geo.admin.ch/?zoom=7&amp;E=574000&amp;N=210300&amp;layers=ch.kantone.cadastralwebmap-farbe,ch.swisstopo.amtliches-strassenverzeichnis,ch.bfs.gebaeude_wohnungs_register,KML||https://tinyurl.com/yy7ya4g9/BE/0492_bdg_erw.kml","KML building")</f>
        <v>KML building</v>
      </c>
      <c r="I103" s="154">
        <v>0</v>
      </c>
      <c r="J103" s="243" t="s">
        <v>1064</v>
      </c>
      <c r="K103" s="153">
        <v>0</v>
      </c>
      <c r="L103" s="64">
        <v>0</v>
      </c>
      <c r="M103" s="64"/>
      <c r="N103" s="200">
        <v>0</v>
      </c>
      <c r="O103" s="155"/>
      <c r="P103" s="63"/>
      <c r="Q103" s="64">
        <v>0</v>
      </c>
      <c r="R103" s="64"/>
      <c r="S103" s="200">
        <v>0</v>
      </c>
      <c r="T103" s="155"/>
      <c r="U103" s="63"/>
      <c r="V103" s="64">
        <v>0</v>
      </c>
      <c r="W103" s="64"/>
      <c r="X103" s="200">
        <v>0</v>
      </c>
      <c r="Y103" s="155"/>
      <c r="Z103" s="63"/>
      <c r="AA103" s="64">
        <v>0</v>
      </c>
      <c r="AB103" s="64"/>
      <c r="AC103" s="200">
        <v>0</v>
      </c>
      <c r="AD103" s="156"/>
      <c r="AE103" s="153"/>
      <c r="AF103" s="140">
        <v>0</v>
      </c>
      <c r="AG103" s="140"/>
      <c r="AH103" s="200">
        <v>0</v>
      </c>
      <c r="AI103" s="140"/>
      <c r="AJ103" s="153"/>
      <c r="AK103" s="140">
        <v>0</v>
      </c>
      <c r="AL103" s="140"/>
      <c r="AM103" s="200">
        <v>0</v>
      </c>
      <c r="AN103" s="156"/>
      <c r="AO103" s="230">
        <v>0</v>
      </c>
      <c r="AP103" s="223">
        <v>245</v>
      </c>
      <c r="AQ103" s="223">
        <v>217</v>
      </c>
      <c r="AR103" s="235">
        <v>0.88600000000000001</v>
      </c>
      <c r="AS103" s="223">
        <v>193</v>
      </c>
      <c r="AT103" s="235">
        <v>0.78800000000000003</v>
      </c>
      <c r="AU103" s="223">
        <v>189</v>
      </c>
      <c r="AV103" s="232">
        <v>0.77100000000000002</v>
      </c>
      <c r="AW103" s="223">
        <v>102</v>
      </c>
      <c r="AX103" s="223">
        <v>100</v>
      </c>
      <c r="AY103" s="235">
        <v>0.98</v>
      </c>
      <c r="AZ103" s="223">
        <v>94</v>
      </c>
      <c r="BA103" s="235">
        <v>0.92200000000000004</v>
      </c>
      <c r="BB103" s="223">
        <v>92</v>
      </c>
      <c r="BC103" s="232">
        <v>0.90200000000000002</v>
      </c>
    </row>
    <row r="104" spans="1:55" x14ac:dyDescent="0.25">
      <c r="A104" s="226">
        <v>1</v>
      </c>
      <c r="B104" s="211" t="s">
        <v>117</v>
      </c>
      <c r="C104" s="211">
        <v>493</v>
      </c>
      <c r="D104" s="211" t="s">
        <v>280</v>
      </c>
      <c r="E104" s="211">
        <v>308</v>
      </c>
      <c r="F104" s="211">
        <v>308</v>
      </c>
      <c r="G104" s="211"/>
      <c r="H104" s="220" t="str">
        <f>HYPERLINK("https://map.geo.admin.ch/?zoom=7&amp;E=580300&amp;N=208200&amp;layers=ch.kantone.cadastralwebmap-farbe,ch.swisstopo.amtliches-strassenverzeichnis,ch.bfs.gebaeude_wohnungs_register,KML||https://tinyurl.com/yy7ya4g9/BE/0493_bdg_erw.kml","KML building")</f>
        <v>KML building</v>
      </c>
      <c r="I104" s="154">
        <v>0</v>
      </c>
      <c r="J104" s="243" t="s">
        <v>1065</v>
      </c>
      <c r="K104" s="153">
        <v>0</v>
      </c>
      <c r="L104" s="64">
        <v>0</v>
      </c>
      <c r="M104" s="64"/>
      <c r="N104" s="200">
        <v>0</v>
      </c>
      <c r="O104" s="155"/>
      <c r="P104" s="63"/>
      <c r="Q104" s="64">
        <v>0</v>
      </c>
      <c r="R104" s="64"/>
      <c r="S104" s="200">
        <v>0</v>
      </c>
      <c r="T104" s="155"/>
      <c r="U104" s="63"/>
      <c r="V104" s="64">
        <v>0</v>
      </c>
      <c r="W104" s="64"/>
      <c r="X104" s="200">
        <v>0</v>
      </c>
      <c r="Y104" s="155"/>
      <c r="Z104" s="63"/>
      <c r="AA104" s="64">
        <v>0</v>
      </c>
      <c r="AB104" s="64"/>
      <c r="AC104" s="200">
        <v>0</v>
      </c>
      <c r="AD104" s="156"/>
      <c r="AE104" s="153"/>
      <c r="AF104" s="140">
        <v>2</v>
      </c>
      <c r="AG104" s="140"/>
      <c r="AH104" s="200">
        <v>6.4999999999999997E-3</v>
      </c>
      <c r="AI104" s="140"/>
      <c r="AJ104" s="153"/>
      <c r="AK104" s="140">
        <v>0</v>
      </c>
      <c r="AL104" s="140"/>
      <c r="AM104" s="200">
        <v>0</v>
      </c>
      <c r="AN104" s="156"/>
      <c r="AO104" s="230">
        <v>6.4999999999999997E-3</v>
      </c>
      <c r="AP104" s="223">
        <v>146</v>
      </c>
      <c r="AQ104" s="223">
        <v>124</v>
      </c>
      <c r="AR104" s="235">
        <v>0.84899999999999998</v>
      </c>
      <c r="AS104" s="223">
        <v>106</v>
      </c>
      <c r="AT104" s="235">
        <v>0.72599999999999998</v>
      </c>
      <c r="AU104" s="223">
        <v>103</v>
      </c>
      <c r="AV104" s="232">
        <v>0.70499999999999996</v>
      </c>
      <c r="AW104" s="223">
        <v>98</v>
      </c>
      <c r="AX104" s="223">
        <v>95</v>
      </c>
      <c r="AY104" s="235">
        <v>0.96899999999999997</v>
      </c>
      <c r="AZ104" s="223">
        <v>82</v>
      </c>
      <c r="BA104" s="235">
        <v>0.83699999999999997</v>
      </c>
      <c r="BB104" s="223">
        <v>82</v>
      </c>
      <c r="BC104" s="232">
        <v>0.83699999999999997</v>
      </c>
    </row>
    <row r="105" spans="1:55" x14ac:dyDescent="0.25">
      <c r="A105" s="226">
        <v>1</v>
      </c>
      <c r="B105" s="211" t="s">
        <v>117</v>
      </c>
      <c r="C105" s="211">
        <v>494</v>
      </c>
      <c r="D105" s="211" t="s">
        <v>281</v>
      </c>
      <c r="E105" s="211">
        <v>555</v>
      </c>
      <c r="F105" s="211">
        <v>560</v>
      </c>
      <c r="G105" s="211"/>
      <c r="H105" s="220" t="str">
        <f>HYPERLINK("https://map.geo.admin.ch/?zoom=7&amp;E=570500&amp;N=208600&amp;layers=ch.kantone.cadastralwebmap-farbe,ch.swisstopo.amtliches-strassenverzeichnis,ch.bfs.gebaeude_wohnungs_register,KML||https://tinyurl.com/yy7ya4g9/BE/0494_bdg_erw.kml","KML building")</f>
        <v>KML building</v>
      </c>
      <c r="I105" s="154">
        <v>0</v>
      </c>
      <c r="J105" s="243" t="s">
        <v>1066</v>
      </c>
      <c r="K105" s="153">
        <v>0</v>
      </c>
      <c r="L105" s="64">
        <v>0</v>
      </c>
      <c r="M105" s="64"/>
      <c r="N105" s="200">
        <v>0</v>
      </c>
      <c r="O105" s="155"/>
      <c r="P105" s="63"/>
      <c r="Q105" s="64">
        <v>0</v>
      </c>
      <c r="R105" s="64"/>
      <c r="S105" s="200">
        <v>0</v>
      </c>
      <c r="T105" s="155"/>
      <c r="U105" s="63"/>
      <c r="V105" s="64">
        <v>0</v>
      </c>
      <c r="W105" s="64"/>
      <c r="X105" s="200">
        <v>0</v>
      </c>
      <c r="Y105" s="155"/>
      <c r="Z105" s="63"/>
      <c r="AA105" s="64">
        <v>2</v>
      </c>
      <c r="AB105" s="64"/>
      <c r="AC105" s="200">
        <v>3.5999999999999999E-3</v>
      </c>
      <c r="AD105" s="156"/>
      <c r="AE105" s="153"/>
      <c r="AF105" s="140">
        <v>1</v>
      </c>
      <c r="AG105" s="140"/>
      <c r="AH105" s="200">
        <v>1.8E-3</v>
      </c>
      <c r="AI105" s="140"/>
      <c r="AJ105" s="153"/>
      <c r="AK105" s="140">
        <v>0</v>
      </c>
      <c r="AL105" s="140"/>
      <c r="AM105" s="200">
        <v>0</v>
      </c>
      <c r="AN105" s="156"/>
      <c r="AO105" s="230">
        <v>5.4000000000000003E-3</v>
      </c>
      <c r="AP105" s="223">
        <v>266</v>
      </c>
      <c r="AQ105" s="223">
        <v>219</v>
      </c>
      <c r="AR105" s="235">
        <v>0.82299999999999995</v>
      </c>
      <c r="AS105" s="223">
        <v>198</v>
      </c>
      <c r="AT105" s="235">
        <v>0.74399999999999999</v>
      </c>
      <c r="AU105" s="223">
        <v>193</v>
      </c>
      <c r="AV105" s="232">
        <v>0.72599999999999998</v>
      </c>
      <c r="AW105" s="223">
        <v>163</v>
      </c>
      <c r="AX105" s="223">
        <v>153</v>
      </c>
      <c r="AY105" s="235">
        <v>0.93899999999999995</v>
      </c>
      <c r="AZ105" s="223">
        <v>142</v>
      </c>
      <c r="BA105" s="235">
        <v>0.871</v>
      </c>
      <c r="BB105" s="223">
        <v>141</v>
      </c>
      <c r="BC105" s="232">
        <v>0.86499999999999999</v>
      </c>
    </row>
    <row r="106" spans="1:55" x14ac:dyDescent="0.25">
      <c r="A106" s="226">
        <v>1</v>
      </c>
      <c r="B106" s="211" t="s">
        <v>117</v>
      </c>
      <c r="C106" s="211">
        <v>495</v>
      </c>
      <c r="D106" s="211" t="s">
        <v>282</v>
      </c>
      <c r="E106" s="211">
        <v>623</v>
      </c>
      <c r="F106" s="211">
        <v>634</v>
      </c>
      <c r="G106" s="211"/>
      <c r="H106" s="220" t="str">
        <f>HYPERLINK("https://map.geo.admin.ch/?zoom=7&amp;E=571100&amp;N=207100&amp;layers=ch.kantone.cadastralwebmap-farbe,ch.swisstopo.amtliches-strassenverzeichnis,ch.bfs.gebaeude_wohnungs_register,KML||https://tinyurl.com/yy7ya4g9/BE/0495_bdg_erw.kml","KML building")</f>
        <v>KML building</v>
      </c>
      <c r="I106" s="154">
        <v>0</v>
      </c>
      <c r="J106" s="243" t="s">
        <v>1067</v>
      </c>
      <c r="K106" s="153">
        <v>0</v>
      </c>
      <c r="L106" s="64">
        <v>0</v>
      </c>
      <c r="M106" s="64"/>
      <c r="N106" s="200">
        <v>0</v>
      </c>
      <c r="O106" s="155"/>
      <c r="P106" s="63"/>
      <c r="Q106" s="64">
        <v>0</v>
      </c>
      <c r="R106" s="64"/>
      <c r="S106" s="200">
        <v>0</v>
      </c>
      <c r="T106" s="155"/>
      <c r="U106" s="63"/>
      <c r="V106" s="64">
        <v>0</v>
      </c>
      <c r="W106" s="64"/>
      <c r="X106" s="200">
        <v>0</v>
      </c>
      <c r="Y106" s="155"/>
      <c r="Z106" s="63"/>
      <c r="AA106" s="64">
        <v>0</v>
      </c>
      <c r="AB106" s="64"/>
      <c r="AC106" s="200">
        <v>0</v>
      </c>
      <c r="AD106" s="156"/>
      <c r="AE106" s="153"/>
      <c r="AF106" s="140">
        <v>1</v>
      </c>
      <c r="AG106" s="140"/>
      <c r="AH106" s="200">
        <v>1.6000000000000001E-3</v>
      </c>
      <c r="AI106" s="140"/>
      <c r="AJ106" s="153"/>
      <c r="AK106" s="140">
        <v>0</v>
      </c>
      <c r="AL106" s="140"/>
      <c r="AM106" s="200">
        <v>0</v>
      </c>
      <c r="AN106" s="156"/>
      <c r="AO106" s="230">
        <v>1.6000000000000001E-3</v>
      </c>
      <c r="AP106" s="223">
        <v>323</v>
      </c>
      <c r="AQ106" s="223">
        <v>266</v>
      </c>
      <c r="AR106" s="235">
        <v>0.82399999999999995</v>
      </c>
      <c r="AS106" s="223">
        <v>214</v>
      </c>
      <c r="AT106" s="235">
        <v>0.66300000000000003</v>
      </c>
      <c r="AU106" s="223">
        <v>211</v>
      </c>
      <c r="AV106" s="232">
        <v>0.65300000000000002</v>
      </c>
      <c r="AW106" s="223">
        <v>221</v>
      </c>
      <c r="AX106" s="223">
        <v>213</v>
      </c>
      <c r="AY106" s="235">
        <v>0.96399999999999997</v>
      </c>
      <c r="AZ106" s="223">
        <v>180</v>
      </c>
      <c r="BA106" s="235">
        <v>0.81399999999999995</v>
      </c>
      <c r="BB106" s="223">
        <v>179</v>
      </c>
      <c r="BC106" s="232">
        <v>0.81</v>
      </c>
    </row>
    <row r="107" spans="1:55" x14ac:dyDescent="0.25">
      <c r="A107" s="226">
        <v>1</v>
      </c>
      <c r="B107" s="211" t="s">
        <v>117</v>
      </c>
      <c r="C107" s="211">
        <v>496</v>
      </c>
      <c r="D107" s="211" t="s">
        <v>283</v>
      </c>
      <c r="E107" s="211">
        <v>1688</v>
      </c>
      <c r="F107" s="211">
        <v>1703</v>
      </c>
      <c r="G107" s="211"/>
      <c r="H107" s="220" t="str">
        <f>HYPERLINK("https://map.geo.admin.ch/?zoom=7&amp;E=574600&amp;N=206200&amp;layers=ch.kantone.cadastralwebmap-farbe,ch.swisstopo.amtliches-strassenverzeichnis,ch.bfs.gebaeude_wohnungs_register,KML||https://tinyurl.com/yy7ya4g9/BE/0496_bdg_erw.kml","KML building")</f>
        <v>KML building</v>
      </c>
      <c r="I107" s="154">
        <v>0</v>
      </c>
      <c r="J107" s="243" t="s">
        <v>1068</v>
      </c>
      <c r="K107" s="153">
        <v>0</v>
      </c>
      <c r="L107" s="64">
        <v>0</v>
      </c>
      <c r="M107" s="64"/>
      <c r="N107" s="200">
        <v>0</v>
      </c>
      <c r="O107" s="155"/>
      <c r="P107" s="63"/>
      <c r="Q107" s="64">
        <v>0</v>
      </c>
      <c r="R107" s="64"/>
      <c r="S107" s="200">
        <v>0</v>
      </c>
      <c r="T107" s="155"/>
      <c r="U107" s="63"/>
      <c r="V107" s="64">
        <v>0</v>
      </c>
      <c r="W107" s="64"/>
      <c r="X107" s="200">
        <v>0</v>
      </c>
      <c r="Y107" s="155"/>
      <c r="Z107" s="63"/>
      <c r="AA107" s="64">
        <v>0</v>
      </c>
      <c r="AB107" s="64"/>
      <c r="AC107" s="200">
        <v>0</v>
      </c>
      <c r="AD107" s="156"/>
      <c r="AE107" s="153"/>
      <c r="AF107" s="140">
        <v>6</v>
      </c>
      <c r="AG107" s="140"/>
      <c r="AH107" s="200">
        <v>3.5999999999999999E-3</v>
      </c>
      <c r="AI107" s="140"/>
      <c r="AJ107" s="153"/>
      <c r="AK107" s="140">
        <v>3</v>
      </c>
      <c r="AL107" s="140"/>
      <c r="AM107" s="200">
        <v>1.8E-3</v>
      </c>
      <c r="AN107" s="156"/>
      <c r="AO107" s="230">
        <v>5.4000000000000003E-3</v>
      </c>
      <c r="AP107" s="223">
        <v>721</v>
      </c>
      <c r="AQ107" s="223">
        <v>585</v>
      </c>
      <c r="AR107" s="235">
        <v>0.81100000000000005</v>
      </c>
      <c r="AS107" s="223">
        <v>540</v>
      </c>
      <c r="AT107" s="235">
        <v>0.749</v>
      </c>
      <c r="AU107" s="223">
        <v>534</v>
      </c>
      <c r="AV107" s="232">
        <v>0.74099999999999999</v>
      </c>
      <c r="AW107" s="223">
        <v>424</v>
      </c>
      <c r="AX107" s="223">
        <v>400</v>
      </c>
      <c r="AY107" s="235">
        <v>0.94299999999999995</v>
      </c>
      <c r="AZ107" s="223">
        <v>368</v>
      </c>
      <c r="BA107" s="235">
        <v>0.86799999999999999</v>
      </c>
      <c r="BB107" s="223">
        <v>362</v>
      </c>
      <c r="BC107" s="232">
        <v>0.85399999999999998</v>
      </c>
    </row>
    <row r="108" spans="1:55" x14ac:dyDescent="0.25">
      <c r="A108" s="226">
        <v>1</v>
      </c>
      <c r="B108" s="211" t="s">
        <v>117</v>
      </c>
      <c r="C108" s="211">
        <v>497</v>
      </c>
      <c r="D108" s="211" t="s">
        <v>284</v>
      </c>
      <c r="E108" s="211">
        <v>506</v>
      </c>
      <c r="F108" s="211">
        <v>506</v>
      </c>
      <c r="G108" s="211"/>
      <c r="H108" s="220" t="str">
        <f>HYPERLINK("https://map.geo.admin.ch/?zoom=7&amp;E=578200&amp;N=210600&amp;layers=ch.kantone.cadastralwebmap-farbe,ch.swisstopo.amtliches-strassenverzeichnis,ch.bfs.gebaeude_wohnungs_register,KML||https://tinyurl.com/yy7ya4g9/BE/0497_bdg_erw.kml","KML building")</f>
        <v>KML building</v>
      </c>
      <c r="I108" s="154">
        <v>0</v>
      </c>
      <c r="J108" s="243" t="s">
        <v>1069</v>
      </c>
      <c r="K108" s="153">
        <v>0</v>
      </c>
      <c r="L108" s="64">
        <v>0</v>
      </c>
      <c r="M108" s="64"/>
      <c r="N108" s="200">
        <v>0</v>
      </c>
      <c r="O108" s="155"/>
      <c r="P108" s="63"/>
      <c r="Q108" s="64">
        <v>0</v>
      </c>
      <c r="R108" s="64"/>
      <c r="S108" s="200">
        <v>0</v>
      </c>
      <c r="T108" s="155"/>
      <c r="U108" s="63"/>
      <c r="V108" s="64">
        <v>0</v>
      </c>
      <c r="W108" s="64"/>
      <c r="X108" s="200">
        <v>0</v>
      </c>
      <c r="Y108" s="155"/>
      <c r="Z108" s="63"/>
      <c r="AA108" s="64">
        <v>0</v>
      </c>
      <c r="AB108" s="64"/>
      <c r="AC108" s="200">
        <v>0</v>
      </c>
      <c r="AD108" s="156"/>
      <c r="AE108" s="153"/>
      <c r="AF108" s="140">
        <v>0</v>
      </c>
      <c r="AG108" s="140"/>
      <c r="AH108" s="200">
        <v>0</v>
      </c>
      <c r="AI108" s="140"/>
      <c r="AJ108" s="153"/>
      <c r="AK108" s="140">
        <v>0</v>
      </c>
      <c r="AL108" s="140"/>
      <c r="AM108" s="200">
        <v>0</v>
      </c>
      <c r="AN108" s="156"/>
      <c r="AO108" s="230">
        <v>0</v>
      </c>
      <c r="AP108" s="223">
        <v>190</v>
      </c>
      <c r="AQ108" s="223">
        <v>153</v>
      </c>
      <c r="AR108" s="235">
        <v>0.80500000000000005</v>
      </c>
      <c r="AS108" s="223">
        <v>132</v>
      </c>
      <c r="AT108" s="235">
        <v>0.69499999999999995</v>
      </c>
      <c r="AU108" s="223">
        <v>132</v>
      </c>
      <c r="AV108" s="232">
        <v>0.69499999999999995</v>
      </c>
      <c r="AW108" s="223">
        <v>89</v>
      </c>
      <c r="AX108" s="223">
        <v>86</v>
      </c>
      <c r="AY108" s="235">
        <v>0.96599999999999997</v>
      </c>
      <c r="AZ108" s="223">
        <v>78</v>
      </c>
      <c r="BA108" s="235">
        <v>0.876</v>
      </c>
      <c r="BB108" s="223">
        <v>78</v>
      </c>
      <c r="BC108" s="232">
        <v>0.876</v>
      </c>
    </row>
    <row r="109" spans="1:55" x14ac:dyDescent="0.25">
      <c r="A109" s="226">
        <v>1</v>
      </c>
      <c r="B109" s="211" t="s">
        <v>117</v>
      </c>
      <c r="C109" s="211">
        <v>498</v>
      </c>
      <c r="D109" s="211" t="s">
        <v>285</v>
      </c>
      <c r="E109" s="211">
        <v>774</v>
      </c>
      <c r="F109" s="211">
        <v>778</v>
      </c>
      <c r="G109" s="211"/>
      <c r="H109" s="220" t="str">
        <f>HYPERLINK("https://map.geo.admin.ch/?zoom=7&amp;E=577800&amp;N=205000&amp;layers=ch.kantone.cadastralwebmap-farbe,ch.swisstopo.amtliches-strassenverzeichnis,ch.bfs.gebaeude_wohnungs_register,KML||https://tinyurl.com/yy7ya4g9/BE/0498_bdg_erw.kml","KML building")</f>
        <v>KML building</v>
      </c>
      <c r="I109" s="154">
        <v>0</v>
      </c>
      <c r="J109" s="243" t="s">
        <v>1070</v>
      </c>
      <c r="K109" s="153">
        <v>0</v>
      </c>
      <c r="L109" s="64">
        <v>0</v>
      </c>
      <c r="M109" s="64"/>
      <c r="N109" s="200">
        <v>0</v>
      </c>
      <c r="O109" s="155"/>
      <c r="P109" s="63"/>
      <c r="Q109" s="64">
        <v>0</v>
      </c>
      <c r="R109" s="64"/>
      <c r="S109" s="200">
        <v>0</v>
      </c>
      <c r="T109" s="155"/>
      <c r="U109" s="63"/>
      <c r="V109" s="64">
        <v>0</v>
      </c>
      <c r="W109" s="64"/>
      <c r="X109" s="200">
        <v>0</v>
      </c>
      <c r="Y109" s="155"/>
      <c r="Z109" s="63"/>
      <c r="AA109" s="64">
        <v>0</v>
      </c>
      <c r="AB109" s="64"/>
      <c r="AC109" s="200">
        <v>0</v>
      </c>
      <c r="AD109" s="156"/>
      <c r="AE109" s="153"/>
      <c r="AF109" s="140">
        <v>1</v>
      </c>
      <c r="AG109" s="140"/>
      <c r="AH109" s="200">
        <v>1.2999999999999999E-3</v>
      </c>
      <c r="AI109" s="140"/>
      <c r="AJ109" s="153"/>
      <c r="AK109" s="140">
        <v>2</v>
      </c>
      <c r="AL109" s="140"/>
      <c r="AM109" s="200">
        <v>2.5999999999999999E-3</v>
      </c>
      <c r="AN109" s="156"/>
      <c r="AO109" s="230">
        <v>3.8999999999999998E-3</v>
      </c>
      <c r="AP109" s="223">
        <v>317</v>
      </c>
      <c r="AQ109" s="223">
        <v>269</v>
      </c>
      <c r="AR109" s="235">
        <v>0.84899999999999998</v>
      </c>
      <c r="AS109" s="223">
        <v>254</v>
      </c>
      <c r="AT109" s="235">
        <v>0.80100000000000005</v>
      </c>
      <c r="AU109" s="223">
        <v>244</v>
      </c>
      <c r="AV109" s="232">
        <v>0.77</v>
      </c>
      <c r="AW109" s="223">
        <v>226</v>
      </c>
      <c r="AX109" s="223">
        <v>218</v>
      </c>
      <c r="AY109" s="235">
        <v>0.96499999999999997</v>
      </c>
      <c r="AZ109" s="223">
        <v>205</v>
      </c>
      <c r="BA109" s="235">
        <v>0.90700000000000003</v>
      </c>
      <c r="BB109" s="223">
        <v>205</v>
      </c>
      <c r="BC109" s="232">
        <v>0.90700000000000003</v>
      </c>
    </row>
    <row r="110" spans="1:55" x14ac:dyDescent="0.25">
      <c r="A110" s="226">
        <v>1</v>
      </c>
      <c r="B110" s="211" t="s">
        <v>117</v>
      </c>
      <c r="C110" s="211">
        <v>499</v>
      </c>
      <c r="D110" s="211" t="s">
        <v>286</v>
      </c>
      <c r="E110" s="211">
        <v>402</v>
      </c>
      <c r="F110" s="211">
        <v>405</v>
      </c>
      <c r="G110" s="211"/>
      <c r="H110" s="220" t="str">
        <f>HYPERLINK("https://map.geo.admin.ch/?zoom=7&amp;E=581100&amp;N=209100&amp;layers=ch.kantone.cadastralwebmap-farbe,ch.swisstopo.amtliches-strassenverzeichnis,ch.bfs.gebaeude_wohnungs_register,KML||https://tinyurl.com/yy7ya4g9/BE/0499_bdg_erw.kml","KML building")</f>
        <v>KML building</v>
      </c>
      <c r="I110" s="154">
        <v>0</v>
      </c>
      <c r="J110" s="243" t="s">
        <v>1071</v>
      </c>
      <c r="K110" s="153">
        <v>0</v>
      </c>
      <c r="L110" s="64">
        <v>0</v>
      </c>
      <c r="M110" s="64"/>
      <c r="N110" s="200">
        <v>0</v>
      </c>
      <c r="O110" s="155"/>
      <c r="P110" s="63"/>
      <c r="Q110" s="64">
        <v>0</v>
      </c>
      <c r="R110" s="64"/>
      <c r="S110" s="200">
        <v>0</v>
      </c>
      <c r="T110" s="155"/>
      <c r="U110" s="63"/>
      <c r="V110" s="64">
        <v>0</v>
      </c>
      <c r="W110" s="64"/>
      <c r="X110" s="200">
        <v>0</v>
      </c>
      <c r="Y110" s="155"/>
      <c r="Z110" s="63"/>
      <c r="AA110" s="64">
        <v>0</v>
      </c>
      <c r="AB110" s="64"/>
      <c r="AC110" s="200">
        <v>0</v>
      </c>
      <c r="AD110" s="156"/>
      <c r="AE110" s="153"/>
      <c r="AF110" s="140">
        <v>0</v>
      </c>
      <c r="AG110" s="140"/>
      <c r="AH110" s="200">
        <v>0</v>
      </c>
      <c r="AI110" s="140"/>
      <c r="AJ110" s="153"/>
      <c r="AK110" s="140">
        <v>1</v>
      </c>
      <c r="AL110" s="140"/>
      <c r="AM110" s="200">
        <v>2.5000000000000001E-3</v>
      </c>
      <c r="AN110" s="156"/>
      <c r="AO110" s="230">
        <v>2.5000000000000001E-3</v>
      </c>
      <c r="AP110" s="223">
        <v>184</v>
      </c>
      <c r="AQ110" s="223">
        <v>148</v>
      </c>
      <c r="AR110" s="235">
        <v>0.80400000000000005</v>
      </c>
      <c r="AS110" s="223">
        <v>128</v>
      </c>
      <c r="AT110" s="235">
        <v>0.69599999999999995</v>
      </c>
      <c r="AU110" s="223">
        <v>126</v>
      </c>
      <c r="AV110" s="232">
        <v>0.68500000000000005</v>
      </c>
      <c r="AW110" s="223">
        <v>106</v>
      </c>
      <c r="AX110" s="223">
        <v>98</v>
      </c>
      <c r="AY110" s="235">
        <v>0.92500000000000004</v>
      </c>
      <c r="AZ110" s="223">
        <v>95</v>
      </c>
      <c r="BA110" s="235">
        <v>0.89600000000000002</v>
      </c>
      <c r="BB110" s="223">
        <v>93</v>
      </c>
      <c r="BC110" s="232">
        <v>0.877</v>
      </c>
    </row>
    <row r="111" spans="1:55" x14ac:dyDescent="0.25">
      <c r="A111" s="226">
        <v>1</v>
      </c>
      <c r="B111" s="211" t="s">
        <v>117</v>
      </c>
      <c r="C111" s="211">
        <v>500</v>
      </c>
      <c r="D111" s="211" t="s">
        <v>287</v>
      </c>
      <c r="E111" s="211">
        <v>310</v>
      </c>
      <c r="F111" s="211">
        <v>312</v>
      </c>
      <c r="G111" s="211"/>
      <c r="H111" s="220" t="str">
        <f>HYPERLINK("https://map.geo.admin.ch/?zoom=7&amp;E=578900&amp;N=206500&amp;layers=ch.kantone.cadastralwebmap-farbe,ch.swisstopo.amtliches-strassenverzeichnis,ch.bfs.gebaeude_wohnungs_register,KML||https://tinyurl.com/yy7ya4g9/BE/0500_bdg_erw.kml","KML building")</f>
        <v>KML building</v>
      </c>
      <c r="I111" s="154">
        <v>0</v>
      </c>
      <c r="J111" s="243" t="s">
        <v>1072</v>
      </c>
      <c r="K111" s="153">
        <v>0</v>
      </c>
      <c r="L111" s="64">
        <v>0</v>
      </c>
      <c r="M111" s="64"/>
      <c r="N111" s="200">
        <v>0</v>
      </c>
      <c r="O111" s="155"/>
      <c r="P111" s="63"/>
      <c r="Q111" s="64">
        <v>0</v>
      </c>
      <c r="R111" s="64"/>
      <c r="S111" s="200">
        <v>0</v>
      </c>
      <c r="T111" s="155"/>
      <c r="U111" s="63"/>
      <c r="V111" s="64">
        <v>0</v>
      </c>
      <c r="W111" s="64"/>
      <c r="X111" s="200">
        <v>0</v>
      </c>
      <c r="Y111" s="155"/>
      <c r="Z111" s="63"/>
      <c r="AA111" s="64">
        <v>0</v>
      </c>
      <c r="AB111" s="64"/>
      <c r="AC111" s="200">
        <v>0</v>
      </c>
      <c r="AD111" s="156"/>
      <c r="AE111" s="153"/>
      <c r="AF111" s="140">
        <v>1</v>
      </c>
      <c r="AG111" s="140"/>
      <c r="AH111" s="200">
        <v>3.2000000000000002E-3</v>
      </c>
      <c r="AI111" s="140"/>
      <c r="AJ111" s="153"/>
      <c r="AK111" s="140">
        <v>1</v>
      </c>
      <c r="AL111" s="140"/>
      <c r="AM111" s="200">
        <v>3.2000000000000002E-3</v>
      </c>
      <c r="AN111" s="156"/>
      <c r="AO111" s="230">
        <v>6.4000000000000003E-3</v>
      </c>
      <c r="AP111" s="223">
        <v>156</v>
      </c>
      <c r="AQ111" s="223">
        <v>128</v>
      </c>
      <c r="AR111" s="235">
        <v>0.82099999999999995</v>
      </c>
      <c r="AS111" s="223">
        <v>125</v>
      </c>
      <c r="AT111" s="235">
        <v>0.80100000000000005</v>
      </c>
      <c r="AU111" s="223">
        <v>125</v>
      </c>
      <c r="AV111" s="232">
        <v>0.80100000000000005</v>
      </c>
      <c r="AW111" s="223">
        <v>99</v>
      </c>
      <c r="AX111" s="223">
        <v>91</v>
      </c>
      <c r="AY111" s="235">
        <v>0.91900000000000004</v>
      </c>
      <c r="AZ111" s="223">
        <v>89</v>
      </c>
      <c r="BA111" s="235">
        <v>0.89900000000000002</v>
      </c>
      <c r="BB111" s="223">
        <v>89</v>
      </c>
      <c r="BC111" s="232">
        <v>0.89900000000000002</v>
      </c>
    </row>
    <row r="112" spans="1:55" x14ac:dyDescent="0.25">
      <c r="A112" s="226">
        <v>1</v>
      </c>
      <c r="B112" s="211" t="s">
        <v>117</v>
      </c>
      <c r="C112" s="211">
        <v>501</v>
      </c>
      <c r="D112" s="211" t="s">
        <v>288</v>
      </c>
      <c r="E112" s="211">
        <v>293</v>
      </c>
      <c r="F112" s="211">
        <v>296</v>
      </c>
      <c r="G112" s="211"/>
      <c r="H112" s="220" t="str">
        <f>HYPERLINK("https://map.geo.admin.ch/?zoom=7&amp;E=572400&amp;N=208400&amp;layers=ch.kantone.cadastralwebmap-farbe,ch.swisstopo.amtliches-strassenverzeichnis,ch.bfs.gebaeude_wohnungs_register,KML||https://tinyurl.com/yy7ya4g9/BE/0501_bdg_erw.kml","KML building")</f>
        <v>KML building</v>
      </c>
      <c r="I112" s="154">
        <v>0</v>
      </c>
      <c r="J112" s="243" t="s">
        <v>1073</v>
      </c>
      <c r="K112" s="153">
        <v>0</v>
      </c>
      <c r="L112" s="64">
        <v>0</v>
      </c>
      <c r="M112" s="64"/>
      <c r="N112" s="200">
        <v>0</v>
      </c>
      <c r="O112" s="155"/>
      <c r="P112" s="63"/>
      <c r="Q112" s="64">
        <v>0</v>
      </c>
      <c r="R112" s="64"/>
      <c r="S112" s="200">
        <v>0</v>
      </c>
      <c r="T112" s="155"/>
      <c r="U112" s="63"/>
      <c r="V112" s="64">
        <v>0</v>
      </c>
      <c r="W112" s="64"/>
      <c r="X112" s="200">
        <v>0</v>
      </c>
      <c r="Y112" s="155"/>
      <c r="Z112" s="63"/>
      <c r="AA112" s="64">
        <v>0</v>
      </c>
      <c r="AB112" s="64"/>
      <c r="AC112" s="200">
        <v>0</v>
      </c>
      <c r="AD112" s="156"/>
      <c r="AE112" s="153"/>
      <c r="AF112" s="140">
        <v>2</v>
      </c>
      <c r="AG112" s="140"/>
      <c r="AH112" s="200">
        <v>6.7999999999999996E-3</v>
      </c>
      <c r="AI112" s="140"/>
      <c r="AJ112" s="153"/>
      <c r="AK112" s="140">
        <v>0</v>
      </c>
      <c r="AL112" s="140"/>
      <c r="AM112" s="200">
        <v>0</v>
      </c>
      <c r="AN112" s="156"/>
      <c r="AO112" s="230">
        <v>6.7999999999999996E-3</v>
      </c>
      <c r="AP112" s="223">
        <v>126</v>
      </c>
      <c r="AQ112" s="223">
        <v>97</v>
      </c>
      <c r="AR112" s="235">
        <v>0.77</v>
      </c>
      <c r="AS112" s="223">
        <v>99</v>
      </c>
      <c r="AT112" s="235">
        <v>0.78600000000000003</v>
      </c>
      <c r="AU112" s="223">
        <v>95</v>
      </c>
      <c r="AV112" s="232">
        <v>0.754</v>
      </c>
      <c r="AW112" s="223">
        <v>76</v>
      </c>
      <c r="AX112" s="223">
        <v>66</v>
      </c>
      <c r="AY112" s="235">
        <v>0.86799999999999999</v>
      </c>
      <c r="AZ112" s="223">
        <v>68</v>
      </c>
      <c r="BA112" s="235">
        <v>0.89500000000000002</v>
      </c>
      <c r="BB112" s="223">
        <v>64</v>
      </c>
      <c r="BC112" s="232">
        <v>0.84199999999999997</v>
      </c>
    </row>
    <row r="113" spans="1:55" x14ac:dyDescent="0.25">
      <c r="A113" s="226">
        <v>1</v>
      </c>
      <c r="B113" s="211" t="s">
        <v>117</v>
      </c>
      <c r="C113" s="211">
        <v>502</v>
      </c>
      <c r="D113" s="211" t="s">
        <v>289</v>
      </c>
      <c r="E113" s="211">
        <v>696</v>
      </c>
      <c r="F113" s="211">
        <v>697</v>
      </c>
      <c r="G113" s="211"/>
      <c r="H113" s="220" t="str">
        <f>HYPERLINK("https://map.geo.admin.ch/?zoom=7&amp;E=575100&amp;N=209200&amp;layers=ch.kantone.cadastralwebmap-farbe,ch.swisstopo.amtliches-strassenverzeichnis,ch.bfs.gebaeude_wohnungs_register,KML||https://tinyurl.com/yy7ya4g9/BE/0502_bdg_erw.kml","KML building")</f>
        <v>KML building</v>
      </c>
      <c r="I113" s="154">
        <v>0</v>
      </c>
      <c r="J113" s="243" t="s">
        <v>1074</v>
      </c>
      <c r="K113" s="153">
        <v>0</v>
      </c>
      <c r="L113" s="64">
        <v>0</v>
      </c>
      <c r="M113" s="64"/>
      <c r="N113" s="200">
        <v>0</v>
      </c>
      <c r="O113" s="155"/>
      <c r="P113" s="63"/>
      <c r="Q113" s="64">
        <v>0</v>
      </c>
      <c r="R113" s="64"/>
      <c r="S113" s="200">
        <v>0</v>
      </c>
      <c r="T113" s="155"/>
      <c r="U113" s="63"/>
      <c r="V113" s="64">
        <v>0</v>
      </c>
      <c r="W113" s="64"/>
      <c r="X113" s="200">
        <v>0</v>
      </c>
      <c r="Y113" s="155"/>
      <c r="Z113" s="63"/>
      <c r="AA113" s="64">
        <v>0</v>
      </c>
      <c r="AB113" s="64"/>
      <c r="AC113" s="200">
        <v>0</v>
      </c>
      <c r="AD113" s="156"/>
      <c r="AE113" s="153"/>
      <c r="AF113" s="140">
        <v>0</v>
      </c>
      <c r="AG113" s="140"/>
      <c r="AH113" s="200">
        <v>0</v>
      </c>
      <c r="AI113" s="140"/>
      <c r="AJ113" s="153"/>
      <c r="AK113" s="140">
        <v>0</v>
      </c>
      <c r="AL113" s="140"/>
      <c r="AM113" s="200">
        <v>0</v>
      </c>
      <c r="AN113" s="156"/>
      <c r="AO113" s="230">
        <v>0</v>
      </c>
      <c r="AP113" s="223">
        <v>266</v>
      </c>
      <c r="AQ113" s="223">
        <v>212</v>
      </c>
      <c r="AR113" s="235">
        <v>0.79700000000000004</v>
      </c>
      <c r="AS113" s="223">
        <v>189</v>
      </c>
      <c r="AT113" s="235">
        <v>0.71099999999999997</v>
      </c>
      <c r="AU113" s="223">
        <v>184</v>
      </c>
      <c r="AV113" s="232">
        <v>0.69199999999999995</v>
      </c>
      <c r="AW113" s="223">
        <v>152</v>
      </c>
      <c r="AX113" s="223">
        <v>137</v>
      </c>
      <c r="AY113" s="235">
        <v>0.90100000000000002</v>
      </c>
      <c r="AZ113" s="223">
        <v>122</v>
      </c>
      <c r="BA113" s="235">
        <v>0.80300000000000005</v>
      </c>
      <c r="BB113" s="223">
        <v>117</v>
      </c>
      <c r="BC113" s="232">
        <v>0.77</v>
      </c>
    </row>
    <row r="114" spans="1:55" x14ac:dyDescent="0.25">
      <c r="A114" s="226">
        <v>1</v>
      </c>
      <c r="B114" s="211" t="s">
        <v>117</v>
      </c>
      <c r="C114" s="211">
        <v>533</v>
      </c>
      <c r="D114" s="211" t="s">
        <v>290</v>
      </c>
      <c r="E114" s="211">
        <v>1643</v>
      </c>
      <c r="F114" s="211">
        <v>1645</v>
      </c>
      <c r="G114" s="211"/>
      <c r="H114" s="220" t="str">
        <f>HYPERLINK("https://map.geo.admin.ch/?zoom=7&amp;E=607600&amp;N=220000&amp;layers=ch.kantone.cadastralwebmap-farbe,ch.swisstopo.amtliches-strassenverzeichnis,ch.bfs.gebaeude_wohnungs_register,KML||https://tinyurl.com/yy7ya4g9/BE/0533_bdg_erw.kml","KML building")</f>
        <v>KML building</v>
      </c>
      <c r="I114" s="154">
        <v>0</v>
      </c>
      <c r="J114" s="243" t="s">
        <v>1075</v>
      </c>
      <c r="K114" s="153">
        <v>0</v>
      </c>
      <c r="L114" s="64">
        <v>0</v>
      </c>
      <c r="M114" s="64"/>
      <c r="N114" s="200">
        <v>0</v>
      </c>
      <c r="O114" s="155"/>
      <c r="P114" s="63"/>
      <c r="Q114" s="64">
        <v>0</v>
      </c>
      <c r="R114" s="64"/>
      <c r="S114" s="200">
        <v>0</v>
      </c>
      <c r="T114" s="155"/>
      <c r="U114" s="63"/>
      <c r="V114" s="64">
        <v>0</v>
      </c>
      <c r="W114" s="64"/>
      <c r="X114" s="200">
        <v>0</v>
      </c>
      <c r="Y114" s="155"/>
      <c r="Z114" s="63"/>
      <c r="AA114" s="64">
        <v>0</v>
      </c>
      <c r="AB114" s="64"/>
      <c r="AC114" s="200">
        <v>0</v>
      </c>
      <c r="AD114" s="156"/>
      <c r="AE114" s="153"/>
      <c r="AF114" s="140">
        <v>0</v>
      </c>
      <c r="AG114" s="140"/>
      <c r="AH114" s="200">
        <v>0</v>
      </c>
      <c r="AI114" s="140"/>
      <c r="AJ114" s="153"/>
      <c r="AK114" s="140">
        <v>0</v>
      </c>
      <c r="AL114" s="140"/>
      <c r="AM114" s="200">
        <v>0</v>
      </c>
      <c r="AN114" s="156"/>
      <c r="AO114" s="230">
        <v>0</v>
      </c>
      <c r="AP114" s="223">
        <v>579</v>
      </c>
      <c r="AQ114" s="223">
        <v>491</v>
      </c>
      <c r="AR114" s="235">
        <v>0.84799999999999998</v>
      </c>
      <c r="AS114" s="223">
        <v>455</v>
      </c>
      <c r="AT114" s="235">
        <v>0.78600000000000003</v>
      </c>
      <c r="AU114" s="223">
        <v>443</v>
      </c>
      <c r="AV114" s="232">
        <v>0.76500000000000001</v>
      </c>
      <c r="AW114" s="223">
        <v>278</v>
      </c>
      <c r="AX114" s="223">
        <v>266</v>
      </c>
      <c r="AY114" s="235">
        <v>0.95699999999999996</v>
      </c>
      <c r="AZ114" s="223">
        <v>250</v>
      </c>
      <c r="BA114" s="235">
        <v>0.89900000000000002</v>
      </c>
      <c r="BB114" s="223">
        <v>250</v>
      </c>
      <c r="BC114" s="232">
        <v>0.89900000000000002</v>
      </c>
    </row>
    <row r="115" spans="1:55" x14ac:dyDescent="0.25">
      <c r="A115" s="226">
        <v>1</v>
      </c>
      <c r="B115" s="211" t="s">
        <v>117</v>
      </c>
      <c r="C115" s="211">
        <v>535</v>
      </c>
      <c r="D115" s="211" t="s">
        <v>291</v>
      </c>
      <c r="E115" s="211">
        <v>86</v>
      </c>
      <c r="F115" s="211">
        <v>86</v>
      </c>
      <c r="G115" s="211"/>
      <c r="H115" s="220" t="str">
        <f>HYPERLINK("https://map.geo.admin.ch/?zoom=7&amp;E=601300&amp;N=209300&amp;layers=ch.kantone.cadastralwebmap-farbe,ch.swisstopo.amtliches-strassenverzeichnis,ch.bfs.gebaeude_wohnungs_register,KML||https://tinyurl.com/yy7ya4g9/BE/0535_bdg_erw.kml","KML building")</f>
        <v>KML building</v>
      </c>
      <c r="I115" s="154">
        <v>0</v>
      </c>
      <c r="J115" s="243" t="s">
        <v>1076</v>
      </c>
      <c r="K115" s="153">
        <v>0</v>
      </c>
      <c r="L115" s="64">
        <v>0</v>
      </c>
      <c r="M115" s="64"/>
      <c r="N115" s="200">
        <v>0</v>
      </c>
      <c r="O115" s="155"/>
      <c r="P115" s="63"/>
      <c r="Q115" s="64">
        <v>0</v>
      </c>
      <c r="R115" s="64"/>
      <c r="S115" s="200">
        <v>0</v>
      </c>
      <c r="T115" s="155"/>
      <c r="U115" s="63"/>
      <c r="V115" s="64">
        <v>0</v>
      </c>
      <c r="W115" s="64"/>
      <c r="X115" s="200">
        <v>0</v>
      </c>
      <c r="Y115" s="155"/>
      <c r="Z115" s="63"/>
      <c r="AA115" s="64">
        <v>0</v>
      </c>
      <c r="AB115" s="64"/>
      <c r="AC115" s="200">
        <v>0</v>
      </c>
      <c r="AD115" s="156"/>
      <c r="AE115" s="153"/>
      <c r="AF115" s="140">
        <v>0</v>
      </c>
      <c r="AG115" s="140"/>
      <c r="AH115" s="200">
        <v>0</v>
      </c>
      <c r="AI115" s="140"/>
      <c r="AJ115" s="153"/>
      <c r="AK115" s="140">
        <v>0</v>
      </c>
      <c r="AL115" s="140"/>
      <c r="AM115" s="200">
        <v>0</v>
      </c>
      <c r="AN115" s="156"/>
      <c r="AO115" s="230">
        <v>0</v>
      </c>
      <c r="AP115" s="223">
        <v>51</v>
      </c>
      <c r="AQ115" s="223">
        <v>50</v>
      </c>
      <c r="AR115" s="235">
        <v>0.98</v>
      </c>
      <c r="AS115" s="223">
        <v>41</v>
      </c>
      <c r="AT115" s="235">
        <v>0.80400000000000005</v>
      </c>
      <c r="AU115" s="223">
        <v>41</v>
      </c>
      <c r="AV115" s="232">
        <v>0.80400000000000005</v>
      </c>
      <c r="AW115" s="223">
        <v>29</v>
      </c>
      <c r="AX115" s="223">
        <v>28</v>
      </c>
      <c r="AY115" s="235">
        <v>0.96599999999999997</v>
      </c>
      <c r="AZ115" s="223">
        <v>26</v>
      </c>
      <c r="BA115" s="235">
        <v>0.89700000000000002</v>
      </c>
      <c r="BB115" s="223">
        <v>26</v>
      </c>
      <c r="BC115" s="232">
        <v>0.89700000000000002</v>
      </c>
    </row>
    <row r="116" spans="1:55" x14ac:dyDescent="0.25">
      <c r="A116" s="226">
        <v>1</v>
      </c>
      <c r="B116" s="211" t="s">
        <v>117</v>
      </c>
      <c r="C116" s="211">
        <v>538</v>
      </c>
      <c r="D116" s="211" t="s">
        <v>292</v>
      </c>
      <c r="E116" s="211">
        <v>2819</v>
      </c>
      <c r="F116" s="211">
        <v>2847</v>
      </c>
      <c r="G116" s="211"/>
      <c r="H116" s="220" t="str">
        <f>HYPERLINK("https://map.geo.admin.ch/?zoom=7&amp;E=606500&amp;N=215000&amp;layers=ch.kantone.cadastralwebmap-farbe,ch.swisstopo.amtliches-strassenverzeichnis,ch.bfs.gebaeude_wohnungs_register,KML||https://tinyurl.com/yy7ya4g9/BE/0538_bdg_erw.kml","KML building")</f>
        <v>KML building</v>
      </c>
      <c r="I116" s="154">
        <v>6</v>
      </c>
      <c r="J116" s="243" t="s">
        <v>1077</v>
      </c>
      <c r="K116" s="153">
        <v>2.1284143313231641E-3</v>
      </c>
      <c r="L116" s="64">
        <v>0</v>
      </c>
      <c r="M116" s="64"/>
      <c r="N116" s="200">
        <v>0</v>
      </c>
      <c r="O116" s="155"/>
      <c r="P116" s="63"/>
      <c r="Q116" s="64">
        <v>0</v>
      </c>
      <c r="R116" s="64"/>
      <c r="S116" s="200">
        <v>0</v>
      </c>
      <c r="T116" s="155"/>
      <c r="U116" s="63"/>
      <c r="V116" s="64">
        <v>0</v>
      </c>
      <c r="W116" s="64"/>
      <c r="X116" s="200">
        <v>0</v>
      </c>
      <c r="Y116" s="155"/>
      <c r="Z116" s="63"/>
      <c r="AA116" s="64">
        <v>1</v>
      </c>
      <c r="AB116" s="64"/>
      <c r="AC116" s="200">
        <v>4.0000000000000002E-4</v>
      </c>
      <c r="AD116" s="156"/>
      <c r="AE116" s="153"/>
      <c r="AF116" s="140">
        <v>7</v>
      </c>
      <c r="AG116" s="140"/>
      <c r="AH116" s="200">
        <v>2.5000000000000001E-3</v>
      </c>
      <c r="AI116" s="140"/>
      <c r="AJ116" s="153"/>
      <c r="AK116" s="140">
        <v>9</v>
      </c>
      <c r="AL116" s="140"/>
      <c r="AM116" s="200">
        <v>3.2000000000000002E-3</v>
      </c>
      <c r="AN116" s="156"/>
      <c r="AO116" s="230">
        <v>6.1000000000000004E-3</v>
      </c>
      <c r="AP116" s="223">
        <v>1066</v>
      </c>
      <c r="AQ116" s="223">
        <v>852</v>
      </c>
      <c r="AR116" s="235">
        <v>0.79900000000000004</v>
      </c>
      <c r="AS116" s="223">
        <v>808</v>
      </c>
      <c r="AT116" s="235">
        <v>0.75800000000000001</v>
      </c>
      <c r="AU116" s="223">
        <v>758</v>
      </c>
      <c r="AV116" s="232">
        <v>0.71099999999999997</v>
      </c>
      <c r="AW116" s="223">
        <v>594</v>
      </c>
      <c r="AX116" s="223">
        <v>557</v>
      </c>
      <c r="AY116" s="235">
        <v>0.93799999999999994</v>
      </c>
      <c r="AZ116" s="223">
        <v>524</v>
      </c>
      <c r="BA116" s="235">
        <v>0.88200000000000001</v>
      </c>
      <c r="BB116" s="223">
        <v>513</v>
      </c>
      <c r="BC116" s="232">
        <v>0.86399999999999999</v>
      </c>
    </row>
    <row r="117" spans="1:55" x14ac:dyDescent="0.25">
      <c r="A117" s="226">
        <v>1</v>
      </c>
      <c r="B117" s="211" t="s">
        <v>117</v>
      </c>
      <c r="C117" s="211">
        <v>540</v>
      </c>
      <c r="D117" s="211" t="s">
        <v>293</v>
      </c>
      <c r="E117" s="211">
        <v>2137</v>
      </c>
      <c r="F117" s="211">
        <v>2158</v>
      </c>
      <c r="G117" s="211"/>
      <c r="H117" s="220" t="str">
        <f>HYPERLINK("https://map.geo.admin.ch/?zoom=7&amp;E=605100&amp;N=210800&amp;layers=ch.kantone.cadastralwebmap-farbe,ch.swisstopo.amtliches-strassenverzeichnis,ch.bfs.gebaeude_wohnungs_register,KML||https://tinyurl.com/yy7ya4g9/BE/0540_bdg_erw.kml","KML building")</f>
        <v>KML building</v>
      </c>
      <c r="I117" s="154">
        <v>1</v>
      </c>
      <c r="J117" s="243" t="s">
        <v>1078</v>
      </c>
      <c r="K117" s="153">
        <v>4.6794571829667761E-4</v>
      </c>
      <c r="L117" s="64">
        <v>0</v>
      </c>
      <c r="M117" s="64"/>
      <c r="N117" s="200">
        <v>0</v>
      </c>
      <c r="O117" s="155"/>
      <c r="P117" s="63"/>
      <c r="Q117" s="64">
        <v>0</v>
      </c>
      <c r="R117" s="64"/>
      <c r="S117" s="200">
        <v>0</v>
      </c>
      <c r="T117" s="155"/>
      <c r="U117" s="63"/>
      <c r="V117" s="64">
        <v>0</v>
      </c>
      <c r="W117" s="64"/>
      <c r="X117" s="200">
        <v>0</v>
      </c>
      <c r="Y117" s="155"/>
      <c r="Z117" s="63"/>
      <c r="AA117" s="64">
        <v>0</v>
      </c>
      <c r="AB117" s="64"/>
      <c r="AC117" s="200">
        <v>0</v>
      </c>
      <c r="AD117" s="156"/>
      <c r="AE117" s="153"/>
      <c r="AF117" s="140">
        <v>5</v>
      </c>
      <c r="AG117" s="140"/>
      <c r="AH117" s="200">
        <v>2.3E-3</v>
      </c>
      <c r="AI117" s="140"/>
      <c r="AJ117" s="153"/>
      <c r="AK117" s="140">
        <v>1</v>
      </c>
      <c r="AL117" s="140"/>
      <c r="AM117" s="200">
        <v>5.0000000000000001E-4</v>
      </c>
      <c r="AN117" s="156"/>
      <c r="AO117" s="230">
        <v>2.8E-3</v>
      </c>
      <c r="AP117" s="223">
        <v>672</v>
      </c>
      <c r="AQ117" s="223">
        <v>545</v>
      </c>
      <c r="AR117" s="235">
        <v>0.81100000000000005</v>
      </c>
      <c r="AS117" s="223">
        <v>502</v>
      </c>
      <c r="AT117" s="235">
        <v>0.747</v>
      </c>
      <c r="AU117" s="223">
        <v>476</v>
      </c>
      <c r="AV117" s="232">
        <v>0.70799999999999996</v>
      </c>
      <c r="AW117" s="223">
        <v>327</v>
      </c>
      <c r="AX117" s="223">
        <v>310</v>
      </c>
      <c r="AY117" s="235">
        <v>0.94799999999999995</v>
      </c>
      <c r="AZ117" s="223">
        <v>286</v>
      </c>
      <c r="BA117" s="235">
        <v>0.875</v>
      </c>
      <c r="BB117" s="223">
        <v>278</v>
      </c>
      <c r="BC117" s="232">
        <v>0.85</v>
      </c>
    </row>
    <row r="118" spans="1:55" x14ac:dyDescent="0.25">
      <c r="A118" s="226">
        <v>1</v>
      </c>
      <c r="B118" s="211" t="s">
        <v>117</v>
      </c>
      <c r="C118" s="211">
        <v>541</v>
      </c>
      <c r="D118" s="211" t="s">
        <v>294</v>
      </c>
      <c r="E118" s="211">
        <v>274</v>
      </c>
      <c r="F118" s="211">
        <v>279</v>
      </c>
      <c r="G118" s="211"/>
      <c r="H118" s="220" t="str">
        <f>HYPERLINK("https://map.geo.admin.ch/?zoom=7&amp;E=603100&amp;N=212500&amp;layers=ch.kantone.cadastralwebmap-farbe,ch.swisstopo.amtliches-strassenverzeichnis,ch.bfs.gebaeude_wohnungs_register,KML||https://tinyurl.com/yy7ya4g9/BE/0541_bdg_erw.kml","KML building")</f>
        <v>KML building</v>
      </c>
      <c r="I118" s="154">
        <v>0</v>
      </c>
      <c r="J118" s="243" t="s">
        <v>1079</v>
      </c>
      <c r="K118" s="153">
        <v>0</v>
      </c>
      <c r="L118" s="64">
        <v>0</v>
      </c>
      <c r="M118" s="64"/>
      <c r="N118" s="200">
        <v>0</v>
      </c>
      <c r="O118" s="155"/>
      <c r="P118" s="63"/>
      <c r="Q118" s="64">
        <v>0</v>
      </c>
      <c r="R118" s="64"/>
      <c r="S118" s="200">
        <v>0</v>
      </c>
      <c r="T118" s="155"/>
      <c r="U118" s="63"/>
      <c r="V118" s="64">
        <v>0</v>
      </c>
      <c r="W118" s="64"/>
      <c r="X118" s="200">
        <v>0</v>
      </c>
      <c r="Y118" s="155"/>
      <c r="Z118" s="63"/>
      <c r="AA118" s="64">
        <v>0</v>
      </c>
      <c r="AB118" s="64"/>
      <c r="AC118" s="200">
        <v>0</v>
      </c>
      <c r="AD118" s="156"/>
      <c r="AE118" s="153"/>
      <c r="AF118" s="140">
        <v>1</v>
      </c>
      <c r="AG118" s="140"/>
      <c r="AH118" s="200">
        <v>3.5999999999999999E-3</v>
      </c>
      <c r="AI118" s="140"/>
      <c r="AJ118" s="153"/>
      <c r="AK118" s="140">
        <v>0</v>
      </c>
      <c r="AL118" s="140"/>
      <c r="AM118" s="200">
        <v>0</v>
      </c>
      <c r="AN118" s="156"/>
      <c r="AO118" s="230">
        <v>3.5999999999999999E-3</v>
      </c>
      <c r="AP118" s="223">
        <v>146</v>
      </c>
      <c r="AQ118" s="223">
        <v>122</v>
      </c>
      <c r="AR118" s="235">
        <v>0.83599999999999997</v>
      </c>
      <c r="AS118" s="223">
        <v>103</v>
      </c>
      <c r="AT118" s="235">
        <v>0.70499999999999996</v>
      </c>
      <c r="AU118" s="223">
        <v>101</v>
      </c>
      <c r="AV118" s="232">
        <v>0.69199999999999995</v>
      </c>
      <c r="AW118" s="223">
        <v>81</v>
      </c>
      <c r="AX118" s="223">
        <v>80</v>
      </c>
      <c r="AY118" s="235">
        <v>0.98799999999999999</v>
      </c>
      <c r="AZ118" s="223">
        <v>76</v>
      </c>
      <c r="BA118" s="235">
        <v>0.93799999999999994</v>
      </c>
      <c r="BB118" s="223">
        <v>75</v>
      </c>
      <c r="BC118" s="232">
        <v>0.92600000000000005</v>
      </c>
    </row>
    <row r="119" spans="1:55" x14ac:dyDescent="0.25">
      <c r="A119" s="226">
        <v>1</v>
      </c>
      <c r="B119" s="211" t="s">
        <v>117</v>
      </c>
      <c r="C119" s="211">
        <v>543</v>
      </c>
      <c r="D119" s="211" t="s">
        <v>295</v>
      </c>
      <c r="E119" s="211">
        <v>375</v>
      </c>
      <c r="F119" s="211">
        <v>375</v>
      </c>
      <c r="G119" s="211"/>
      <c r="H119" s="220" t="str">
        <f>HYPERLINK("https://map.geo.admin.ch/?zoom=7&amp;E=605700&amp;N=208800&amp;layers=ch.kantone.cadastralwebmap-farbe,ch.swisstopo.amtliches-strassenverzeichnis,ch.bfs.gebaeude_wohnungs_register,KML||https://tinyurl.com/yy7ya4g9/BE/0543_bdg_erw.kml","KML building")</f>
        <v>KML building</v>
      </c>
      <c r="I119" s="154">
        <v>0</v>
      </c>
      <c r="J119" s="243" t="s">
        <v>1080</v>
      </c>
      <c r="K119" s="153">
        <v>0</v>
      </c>
      <c r="L119" s="64">
        <v>0</v>
      </c>
      <c r="M119" s="64"/>
      <c r="N119" s="200">
        <v>0</v>
      </c>
      <c r="O119" s="155"/>
      <c r="P119" s="63"/>
      <c r="Q119" s="64">
        <v>0</v>
      </c>
      <c r="R119" s="64"/>
      <c r="S119" s="200">
        <v>0</v>
      </c>
      <c r="T119" s="155"/>
      <c r="U119" s="63"/>
      <c r="V119" s="64">
        <v>0</v>
      </c>
      <c r="W119" s="64"/>
      <c r="X119" s="200">
        <v>0</v>
      </c>
      <c r="Y119" s="155"/>
      <c r="Z119" s="63"/>
      <c r="AA119" s="64">
        <v>0</v>
      </c>
      <c r="AB119" s="64"/>
      <c r="AC119" s="200">
        <v>0</v>
      </c>
      <c r="AD119" s="156"/>
      <c r="AE119" s="153"/>
      <c r="AF119" s="140">
        <v>0</v>
      </c>
      <c r="AG119" s="140"/>
      <c r="AH119" s="200">
        <v>0</v>
      </c>
      <c r="AI119" s="140"/>
      <c r="AJ119" s="153"/>
      <c r="AK119" s="140">
        <v>0</v>
      </c>
      <c r="AL119" s="140"/>
      <c r="AM119" s="200">
        <v>0</v>
      </c>
      <c r="AN119" s="156"/>
      <c r="AO119" s="230">
        <v>0</v>
      </c>
      <c r="AP119" s="223">
        <v>169</v>
      </c>
      <c r="AQ119" s="223">
        <v>153</v>
      </c>
      <c r="AR119" s="235">
        <v>0.90500000000000003</v>
      </c>
      <c r="AS119" s="223">
        <v>142</v>
      </c>
      <c r="AT119" s="235">
        <v>0.84</v>
      </c>
      <c r="AU119" s="223">
        <v>140</v>
      </c>
      <c r="AV119" s="232">
        <v>0.82799999999999996</v>
      </c>
      <c r="AW119" s="223">
        <v>71</v>
      </c>
      <c r="AX119" s="223">
        <v>71</v>
      </c>
      <c r="AY119" s="235">
        <v>1</v>
      </c>
      <c r="AZ119" s="223">
        <v>65</v>
      </c>
      <c r="BA119" s="235">
        <v>0.91500000000000004</v>
      </c>
      <c r="BB119" s="223">
        <v>65</v>
      </c>
      <c r="BC119" s="232">
        <v>0.91500000000000004</v>
      </c>
    </row>
    <row r="120" spans="1:55" x14ac:dyDescent="0.25">
      <c r="A120" s="226">
        <v>1</v>
      </c>
      <c r="B120" s="211" t="s">
        <v>117</v>
      </c>
      <c r="C120" s="211">
        <v>544</v>
      </c>
      <c r="D120" s="211" t="s">
        <v>296</v>
      </c>
      <c r="E120" s="211">
        <v>1080</v>
      </c>
      <c r="F120" s="211">
        <v>1096</v>
      </c>
      <c r="G120" s="211"/>
      <c r="H120" s="220" t="str">
        <f>HYPERLINK("https://map.geo.admin.ch/?zoom=7&amp;E=603300&amp;N=207200&amp;layers=ch.kantone.cadastralwebmap-farbe,ch.swisstopo.amtliches-strassenverzeichnis,ch.bfs.gebaeude_wohnungs_register,KML||https://tinyurl.com/yy7ya4g9/BE/0544_bdg_erw.kml","KML building")</f>
        <v>KML building</v>
      </c>
      <c r="I120" s="154">
        <v>1</v>
      </c>
      <c r="J120" s="243" t="s">
        <v>1081</v>
      </c>
      <c r="K120" s="153">
        <v>9.2592592592592596E-4</v>
      </c>
      <c r="L120" s="64">
        <v>0</v>
      </c>
      <c r="M120" s="64"/>
      <c r="N120" s="200">
        <v>0</v>
      </c>
      <c r="O120" s="155"/>
      <c r="P120" s="63"/>
      <c r="Q120" s="64">
        <v>0</v>
      </c>
      <c r="R120" s="64"/>
      <c r="S120" s="200">
        <v>0</v>
      </c>
      <c r="T120" s="155"/>
      <c r="U120" s="63"/>
      <c r="V120" s="64">
        <v>0</v>
      </c>
      <c r="W120" s="64"/>
      <c r="X120" s="200">
        <v>0</v>
      </c>
      <c r="Y120" s="155"/>
      <c r="Z120" s="63"/>
      <c r="AA120" s="64">
        <v>1</v>
      </c>
      <c r="AB120" s="64"/>
      <c r="AC120" s="200">
        <v>8.9999999999999998E-4</v>
      </c>
      <c r="AD120" s="156"/>
      <c r="AE120" s="153"/>
      <c r="AF120" s="140">
        <v>0</v>
      </c>
      <c r="AG120" s="140"/>
      <c r="AH120" s="200">
        <v>0</v>
      </c>
      <c r="AI120" s="140"/>
      <c r="AJ120" s="153"/>
      <c r="AK120" s="140">
        <v>0</v>
      </c>
      <c r="AL120" s="140"/>
      <c r="AM120" s="200">
        <v>0</v>
      </c>
      <c r="AN120" s="156"/>
      <c r="AO120" s="230">
        <v>8.9999999999999998E-4</v>
      </c>
      <c r="AP120" s="223">
        <v>328</v>
      </c>
      <c r="AQ120" s="223">
        <v>295</v>
      </c>
      <c r="AR120" s="235">
        <v>0.89900000000000002</v>
      </c>
      <c r="AS120" s="223">
        <v>251</v>
      </c>
      <c r="AT120" s="235">
        <v>0.76500000000000001</v>
      </c>
      <c r="AU120" s="223">
        <v>244</v>
      </c>
      <c r="AV120" s="232">
        <v>0.74399999999999999</v>
      </c>
      <c r="AW120" s="223">
        <v>220</v>
      </c>
      <c r="AX120" s="223">
        <v>213</v>
      </c>
      <c r="AY120" s="235">
        <v>0.96799999999999997</v>
      </c>
      <c r="AZ120" s="223">
        <v>186</v>
      </c>
      <c r="BA120" s="235">
        <v>0.84499999999999997</v>
      </c>
      <c r="BB120" s="223">
        <v>181</v>
      </c>
      <c r="BC120" s="232">
        <v>0.82299999999999995</v>
      </c>
    </row>
    <row r="121" spans="1:55" x14ac:dyDescent="0.25">
      <c r="A121" s="226">
        <v>1</v>
      </c>
      <c r="B121" s="211" t="s">
        <v>117</v>
      </c>
      <c r="C121" s="211">
        <v>546</v>
      </c>
      <c r="D121" s="211" t="s">
        <v>297</v>
      </c>
      <c r="E121" s="211">
        <v>2854</v>
      </c>
      <c r="F121" s="211">
        <v>2889</v>
      </c>
      <c r="G121" s="211"/>
      <c r="H121" s="220" t="str">
        <f>HYPERLINK("https://map.geo.admin.ch/?zoom=7&amp;E=600900&amp;N=207800&amp;layers=ch.kantone.cadastralwebmap-farbe,ch.swisstopo.amtliches-strassenverzeichnis,ch.bfs.gebaeude_wohnungs_register,KML||https://tinyurl.com/yy7ya4g9/BE/0546_bdg_erw.kml","KML building")</f>
        <v>KML building</v>
      </c>
      <c r="I121" s="154">
        <v>1</v>
      </c>
      <c r="J121" s="243" t="s">
        <v>1082</v>
      </c>
      <c r="K121" s="153">
        <v>3.5038542396636298E-4</v>
      </c>
      <c r="L121" s="64">
        <v>0</v>
      </c>
      <c r="M121" s="64"/>
      <c r="N121" s="200">
        <v>0</v>
      </c>
      <c r="O121" s="155"/>
      <c r="P121" s="63"/>
      <c r="Q121" s="64">
        <v>0</v>
      </c>
      <c r="R121" s="64"/>
      <c r="S121" s="200">
        <v>0</v>
      </c>
      <c r="T121" s="155"/>
      <c r="U121" s="63"/>
      <c r="V121" s="64">
        <v>0</v>
      </c>
      <c r="W121" s="64"/>
      <c r="X121" s="200">
        <v>0</v>
      </c>
      <c r="Y121" s="155"/>
      <c r="Z121" s="63"/>
      <c r="AA121" s="64">
        <v>1</v>
      </c>
      <c r="AB121" s="64"/>
      <c r="AC121" s="200">
        <v>2.9999999999999997E-4</v>
      </c>
      <c r="AD121" s="156"/>
      <c r="AE121" s="153"/>
      <c r="AF121" s="140">
        <v>3</v>
      </c>
      <c r="AG121" s="140"/>
      <c r="AH121" s="200">
        <v>1.1000000000000001E-3</v>
      </c>
      <c r="AI121" s="140"/>
      <c r="AJ121" s="153"/>
      <c r="AK121" s="140">
        <v>0</v>
      </c>
      <c r="AL121" s="140"/>
      <c r="AM121" s="200">
        <v>0</v>
      </c>
      <c r="AN121" s="156"/>
      <c r="AO121" s="230">
        <v>1.4E-3</v>
      </c>
      <c r="AP121" s="223">
        <v>948</v>
      </c>
      <c r="AQ121" s="223">
        <v>786</v>
      </c>
      <c r="AR121" s="235">
        <v>0.82899999999999996</v>
      </c>
      <c r="AS121" s="223">
        <v>778</v>
      </c>
      <c r="AT121" s="235">
        <v>0.82099999999999995</v>
      </c>
      <c r="AU121" s="223">
        <v>732</v>
      </c>
      <c r="AV121" s="232">
        <v>0.77200000000000002</v>
      </c>
      <c r="AW121" s="223">
        <v>495</v>
      </c>
      <c r="AX121" s="223">
        <v>472</v>
      </c>
      <c r="AY121" s="235">
        <v>0.95399999999999996</v>
      </c>
      <c r="AZ121" s="223">
        <v>466</v>
      </c>
      <c r="BA121" s="235">
        <v>0.94099999999999995</v>
      </c>
      <c r="BB121" s="223">
        <v>445</v>
      </c>
      <c r="BC121" s="232">
        <v>0.89900000000000002</v>
      </c>
    </row>
    <row r="122" spans="1:55" x14ac:dyDescent="0.25">
      <c r="A122" s="226">
        <v>1</v>
      </c>
      <c r="B122" s="211" t="s">
        <v>117</v>
      </c>
      <c r="C122" s="211">
        <v>551</v>
      </c>
      <c r="D122" s="211" t="s">
        <v>298</v>
      </c>
      <c r="E122" s="211">
        <v>1467</v>
      </c>
      <c r="F122" s="211">
        <v>1478</v>
      </c>
      <c r="G122" s="211"/>
      <c r="H122" s="220" t="str">
        <f>HYPERLINK("https://map.geo.admin.ch/?zoom=7&amp;E=604500&amp;N=208500&amp;layers=ch.kantone.cadastralwebmap-farbe,ch.swisstopo.amtliches-strassenverzeichnis,ch.bfs.gebaeude_wohnungs_register,KML||https://tinyurl.com/yy7ya4g9/BE/0551_bdg_erw.kml","KML building")</f>
        <v>KML building</v>
      </c>
      <c r="I122" s="154">
        <v>0</v>
      </c>
      <c r="J122" s="243" t="s">
        <v>1083</v>
      </c>
      <c r="K122" s="153">
        <v>0</v>
      </c>
      <c r="L122" s="64">
        <v>0</v>
      </c>
      <c r="M122" s="64"/>
      <c r="N122" s="200">
        <v>0</v>
      </c>
      <c r="O122" s="155"/>
      <c r="P122" s="63"/>
      <c r="Q122" s="64">
        <v>0</v>
      </c>
      <c r="R122" s="64"/>
      <c r="S122" s="200">
        <v>0</v>
      </c>
      <c r="T122" s="155"/>
      <c r="U122" s="63"/>
      <c r="V122" s="64">
        <v>0</v>
      </c>
      <c r="W122" s="64"/>
      <c r="X122" s="200">
        <v>0</v>
      </c>
      <c r="Y122" s="155"/>
      <c r="Z122" s="63"/>
      <c r="AA122" s="64">
        <v>0</v>
      </c>
      <c r="AB122" s="64"/>
      <c r="AC122" s="200">
        <v>0</v>
      </c>
      <c r="AD122" s="156"/>
      <c r="AE122" s="153"/>
      <c r="AF122" s="140">
        <v>5</v>
      </c>
      <c r="AG122" s="140"/>
      <c r="AH122" s="200">
        <v>3.3999999999999998E-3</v>
      </c>
      <c r="AI122" s="140"/>
      <c r="AJ122" s="153"/>
      <c r="AK122" s="140">
        <v>0</v>
      </c>
      <c r="AL122" s="140"/>
      <c r="AM122" s="200">
        <v>0</v>
      </c>
      <c r="AN122" s="156"/>
      <c r="AO122" s="230">
        <v>3.3999999999999998E-3</v>
      </c>
      <c r="AP122" s="223">
        <v>405</v>
      </c>
      <c r="AQ122" s="223">
        <v>389</v>
      </c>
      <c r="AR122" s="235">
        <v>0.96</v>
      </c>
      <c r="AS122" s="223">
        <v>339</v>
      </c>
      <c r="AT122" s="235">
        <v>0.83699999999999997</v>
      </c>
      <c r="AU122" s="223">
        <v>326</v>
      </c>
      <c r="AV122" s="232">
        <v>0.80500000000000005</v>
      </c>
      <c r="AW122" s="223">
        <v>231</v>
      </c>
      <c r="AX122" s="223">
        <v>221</v>
      </c>
      <c r="AY122" s="235">
        <v>0.95699999999999996</v>
      </c>
      <c r="AZ122" s="223">
        <v>204</v>
      </c>
      <c r="BA122" s="235">
        <v>0.88300000000000001</v>
      </c>
      <c r="BB122" s="223">
        <v>194</v>
      </c>
      <c r="BC122" s="232">
        <v>0.84</v>
      </c>
    </row>
    <row r="123" spans="1:55" x14ac:dyDescent="0.25">
      <c r="A123" s="226">
        <v>1</v>
      </c>
      <c r="B123" s="211" t="s">
        <v>117</v>
      </c>
      <c r="C123" s="211">
        <v>552</v>
      </c>
      <c r="D123" s="211" t="s">
        <v>299</v>
      </c>
      <c r="E123" s="211">
        <v>2134</v>
      </c>
      <c r="F123" s="211">
        <v>2142</v>
      </c>
      <c r="G123" s="211"/>
      <c r="H123" s="220" t="str">
        <f>HYPERLINK("https://map.geo.admin.ch/?zoom=7&amp;E=609000&amp;N=219600&amp;layers=ch.kantone.cadastralwebmap-farbe,ch.swisstopo.amtliches-strassenverzeichnis,ch.bfs.gebaeude_wohnungs_register,KML||https://tinyurl.com/yy7ya4g9/BE/0552_bdg_erw.kml","KML building")</f>
        <v>KML building</v>
      </c>
      <c r="I123" s="154">
        <v>0</v>
      </c>
      <c r="J123" s="243" t="s">
        <v>1084</v>
      </c>
      <c r="K123" s="153">
        <v>0</v>
      </c>
      <c r="L123" s="64">
        <v>0</v>
      </c>
      <c r="M123" s="64"/>
      <c r="N123" s="200">
        <v>0</v>
      </c>
      <c r="O123" s="155"/>
      <c r="P123" s="63"/>
      <c r="Q123" s="64">
        <v>0</v>
      </c>
      <c r="R123" s="64"/>
      <c r="S123" s="200">
        <v>0</v>
      </c>
      <c r="T123" s="155"/>
      <c r="U123" s="63"/>
      <c r="V123" s="64">
        <v>0</v>
      </c>
      <c r="W123" s="64"/>
      <c r="X123" s="200">
        <v>0</v>
      </c>
      <c r="Y123" s="155"/>
      <c r="Z123" s="63"/>
      <c r="AA123" s="64">
        <v>2</v>
      </c>
      <c r="AB123" s="64"/>
      <c r="AC123" s="200">
        <v>8.9999999999999998E-4</v>
      </c>
      <c r="AD123" s="156"/>
      <c r="AE123" s="153"/>
      <c r="AF123" s="140">
        <v>1</v>
      </c>
      <c r="AG123" s="140"/>
      <c r="AH123" s="200">
        <v>5.0000000000000001E-4</v>
      </c>
      <c r="AI123" s="140"/>
      <c r="AJ123" s="153"/>
      <c r="AK123" s="140">
        <v>1</v>
      </c>
      <c r="AL123" s="140"/>
      <c r="AM123" s="200">
        <v>5.0000000000000001E-4</v>
      </c>
      <c r="AN123" s="156"/>
      <c r="AO123" s="230">
        <v>1.9E-3</v>
      </c>
      <c r="AP123" s="223">
        <v>829</v>
      </c>
      <c r="AQ123" s="223">
        <v>669</v>
      </c>
      <c r="AR123" s="235">
        <v>0.80700000000000005</v>
      </c>
      <c r="AS123" s="223">
        <v>651</v>
      </c>
      <c r="AT123" s="235">
        <v>0.78500000000000003</v>
      </c>
      <c r="AU123" s="223">
        <v>602</v>
      </c>
      <c r="AV123" s="232">
        <v>0.72599999999999998</v>
      </c>
      <c r="AW123" s="223">
        <v>498</v>
      </c>
      <c r="AX123" s="223">
        <v>466</v>
      </c>
      <c r="AY123" s="235">
        <v>0.93600000000000005</v>
      </c>
      <c r="AZ123" s="223">
        <v>445</v>
      </c>
      <c r="BA123" s="235">
        <v>0.89400000000000002</v>
      </c>
      <c r="BB123" s="223">
        <v>436</v>
      </c>
      <c r="BC123" s="232">
        <v>0.876</v>
      </c>
    </row>
    <row r="124" spans="1:55" x14ac:dyDescent="0.25">
      <c r="A124" s="226">
        <v>1</v>
      </c>
      <c r="B124" s="211" t="s">
        <v>117</v>
      </c>
      <c r="C124" s="211">
        <v>553</v>
      </c>
      <c r="D124" s="211" t="s">
        <v>300</v>
      </c>
      <c r="E124" s="211">
        <v>84</v>
      </c>
      <c r="F124" s="211">
        <v>84</v>
      </c>
      <c r="G124" s="211"/>
      <c r="H124" s="220" t="str">
        <f>HYPERLINK("https://map.geo.admin.ch/?zoom=7&amp;E=602300&amp;N=208800&amp;layers=ch.kantone.cadastralwebmap-farbe,ch.swisstopo.amtliches-strassenverzeichnis,ch.bfs.gebaeude_wohnungs_register,KML||https://tinyurl.com/yy7ya4g9/BE/0553_bdg_erw.kml","KML building")</f>
        <v>KML building</v>
      </c>
      <c r="I124" s="154">
        <v>0</v>
      </c>
      <c r="J124" s="243" t="s">
        <v>1085</v>
      </c>
      <c r="K124" s="153">
        <v>0</v>
      </c>
      <c r="L124" s="64">
        <v>0</v>
      </c>
      <c r="M124" s="64"/>
      <c r="N124" s="200">
        <v>0</v>
      </c>
      <c r="O124" s="155"/>
      <c r="P124" s="63"/>
      <c r="Q124" s="64">
        <v>0</v>
      </c>
      <c r="R124" s="64"/>
      <c r="S124" s="200">
        <v>0</v>
      </c>
      <c r="T124" s="155"/>
      <c r="U124" s="63"/>
      <c r="V124" s="64">
        <v>0</v>
      </c>
      <c r="W124" s="64"/>
      <c r="X124" s="200">
        <v>0</v>
      </c>
      <c r="Y124" s="155"/>
      <c r="Z124" s="63"/>
      <c r="AA124" s="64">
        <v>0</v>
      </c>
      <c r="AB124" s="64"/>
      <c r="AC124" s="200">
        <v>0</v>
      </c>
      <c r="AD124" s="156"/>
      <c r="AE124" s="153"/>
      <c r="AF124" s="140">
        <v>0</v>
      </c>
      <c r="AG124" s="140"/>
      <c r="AH124" s="200">
        <v>0</v>
      </c>
      <c r="AI124" s="140"/>
      <c r="AJ124" s="153"/>
      <c r="AK124" s="140">
        <v>1</v>
      </c>
      <c r="AL124" s="140"/>
      <c r="AM124" s="200">
        <v>1.1900000000000001E-2</v>
      </c>
      <c r="AN124" s="156"/>
      <c r="AO124" s="230">
        <v>1.1900000000000001E-2</v>
      </c>
      <c r="AP124" s="223">
        <v>51</v>
      </c>
      <c r="AQ124" s="223">
        <v>48</v>
      </c>
      <c r="AR124" s="235">
        <v>0.94099999999999995</v>
      </c>
      <c r="AS124" s="223">
        <v>42</v>
      </c>
      <c r="AT124" s="235">
        <v>0.82399999999999995</v>
      </c>
      <c r="AU124" s="223">
        <v>42</v>
      </c>
      <c r="AV124" s="232">
        <v>0.82399999999999995</v>
      </c>
      <c r="AW124" s="223">
        <v>34</v>
      </c>
      <c r="AX124" s="223">
        <v>33</v>
      </c>
      <c r="AY124" s="235">
        <v>0.97099999999999997</v>
      </c>
      <c r="AZ124" s="223">
        <v>29</v>
      </c>
      <c r="BA124" s="235">
        <v>0.85299999999999998</v>
      </c>
      <c r="BB124" s="223">
        <v>29</v>
      </c>
      <c r="BC124" s="232">
        <v>0.85299999999999998</v>
      </c>
    </row>
    <row r="125" spans="1:55" x14ac:dyDescent="0.25">
      <c r="A125" s="226">
        <v>1</v>
      </c>
      <c r="B125" s="211" t="s">
        <v>117</v>
      </c>
      <c r="C125" s="211">
        <v>554</v>
      </c>
      <c r="D125" s="211" t="s">
        <v>301</v>
      </c>
      <c r="E125" s="211">
        <v>575</v>
      </c>
      <c r="F125" s="211">
        <v>584</v>
      </c>
      <c r="G125" s="211"/>
      <c r="H125" s="220" t="str">
        <f>HYPERLINK("https://map.geo.admin.ch/?zoom=7&amp;E=609100&amp;N=222300&amp;layers=ch.kantone.cadastralwebmap-farbe,ch.swisstopo.amtliches-strassenverzeichnis,ch.bfs.gebaeude_wohnungs_register,KML||https://tinyurl.com/yy7ya4g9/BE/0554_bdg_erw.kml","KML building")</f>
        <v>KML building</v>
      </c>
      <c r="I125" s="154">
        <v>0</v>
      </c>
      <c r="J125" s="243" t="s">
        <v>1086</v>
      </c>
      <c r="K125" s="153">
        <v>0</v>
      </c>
      <c r="L125" s="64">
        <v>0</v>
      </c>
      <c r="M125" s="64"/>
      <c r="N125" s="200">
        <v>0</v>
      </c>
      <c r="O125" s="155"/>
      <c r="P125" s="63"/>
      <c r="Q125" s="64">
        <v>0</v>
      </c>
      <c r="R125" s="64"/>
      <c r="S125" s="200">
        <v>0</v>
      </c>
      <c r="T125" s="155"/>
      <c r="U125" s="63"/>
      <c r="V125" s="64">
        <v>0</v>
      </c>
      <c r="W125" s="64"/>
      <c r="X125" s="200">
        <v>0</v>
      </c>
      <c r="Y125" s="155"/>
      <c r="Z125" s="63"/>
      <c r="AA125" s="64">
        <v>0</v>
      </c>
      <c r="AB125" s="64"/>
      <c r="AC125" s="200">
        <v>0</v>
      </c>
      <c r="AD125" s="156"/>
      <c r="AE125" s="153"/>
      <c r="AF125" s="140">
        <v>1</v>
      </c>
      <c r="AG125" s="140"/>
      <c r="AH125" s="200">
        <v>1.6999999999999999E-3</v>
      </c>
      <c r="AI125" s="140"/>
      <c r="AJ125" s="153"/>
      <c r="AK125" s="140">
        <v>0</v>
      </c>
      <c r="AL125" s="140"/>
      <c r="AM125" s="200">
        <v>0</v>
      </c>
      <c r="AN125" s="156"/>
      <c r="AO125" s="230">
        <v>1.6999999999999999E-3</v>
      </c>
      <c r="AP125" s="223">
        <v>232</v>
      </c>
      <c r="AQ125" s="223">
        <v>194</v>
      </c>
      <c r="AR125" s="235">
        <v>0.83599999999999997</v>
      </c>
      <c r="AS125" s="223">
        <v>171</v>
      </c>
      <c r="AT125" s="235">
        <v>0.73699999999999999</v>
      </c>
      <c r="AU125" s="223">
        <v>167</v>
      </c>
      <c r="AV125" s="232">
        <v>0.72</v>
      </c>
      <c r="AW125" s="223">
        <v>115</v>
      </c>
      <c r="AX125" s="223">
        <v>115</v>
      </c>
      <c r="AY125" s="235">
        <v>1</v>
      </c>
      <c r="AZ125" s="223">
        <v>105</v>
      </c>
      <c r="BA125" s="235">
        <v>0.91300000000000003</v>
      </c>
      <c r="BB125" s="223">
        <v>105</v>
      </c>
      <c r="BC125" s="232">
        <v>0.91300000000000003</v>
      </c>
    </row>
    <row r="126" spans="1:55" x14ac:dyDescent="0.25">
      <c r="A126" s="226">
        <v>1</v>
      </c>
      <c r="B126" s="211" t="s">
        <v>117</v>
      </c>
      <c r="C126" s="211">
        <v>556</v>
      </c>
      <c r="D126" s="211" t="s">
        <v>302</v>
      </c>
      <c r="E126" s="211">
        <v>236</v>
      </c>
      <c r="F126" s="211">
        <v>236</v>
      </c>
      <c r="G126" s="211"/>
      <c r="H126" s="220" t="str">
        <f>HYPERLINK("https://map.geo.admin.ch/?zoom=7&amp;E=610400&amp;N=223000&amp;layers=ch.kantone.cadastralwebmap-farbe,ch.swisstopo.amtliches-strassenverzeichnis,ch.bfs.gebaeude_wohnungs_register,KML||https://tinyurl.com/yy7ya4g9/BE/0556_bdg_erw.kml","KML building")</f>
        <v>KML building</v>
      </c>
      <c r="I126" s="154">
        <v>0</v>
      </c>
      <c r="J126" s="243" t="s">
        <v>1087</v>
      </c>
      <c r="K126" s="153">
        <v>0</v>
      </c>
      <c r="L126" s="64">
        <v>0</v>
      </c>
      <c r="M126" s="64"/>
      <c r="N126" s="200">
        <v>0</v>
      </c>
      <c r="O126" s="155"/>
      <c r="P126" s="63"/>
      <c r="Q126" s="64">
        <v>0</v>
      </c>
      <c r="R126" s="64"/>
      <c r="S126" s="200">
        <v>0</v>
      </c>
      <c r="T126" s="155"/>
      <c r="U126" s="63"/>
      <c r="V126" s="64">
        <v>0</v>
      </c>
      <c r="W126" s="64"/>
      <c r="X126" s="200">
        <v>0</v>
      </c>
      <c r="Y126" s="155"/>
      <c r="Z126" s="63"/>
      <c r="AA126" s="64">
        <v>0</v>
      </c>
      <c r="AB126" s="64"/>
      <c r="AC126" s="200">
        <v>0</v>
      </c>
      <c r="AD126" s="156"/>
      <c r="AE126" s="153"/>
      <c r="AF126" s="140">
        <v>0</v>
      </c>
      <c r="AG126" s="140"/>
      <c r="AH126" s="200">
        <v>0</v>
      </c>
      <c r="AI126" s="140"/>
      <c r="AJ126" s="153"/>
      <c r="AK126" s="140">
        <v>0</v>
      </c>
      <c r="AL126" s="140"/>
      <c r="AM126" s="200">
        <v>0</v>
      </c>
      <c r="AN126" s="156"/>
      <c r="AO126" s="230">
        <v>0</v>
      </c>
      <c r="AP126" s="223">
        <v>102</v>
      </c>
      <c r="AQ126" s="223">
        <v>91</v>
      </c>
      <c r="AR126" s="235">
        <v>0.89200000000000002</v>
      </c>
      <c r="AS126" s="223">
        <v>84</v>
      </c>
      <c r="AT126" s="235">
        <v>0.82399999999999995</v>
      </c>
      <c r="AU126" s="223">
        <v>83</v>
      </c>
      <c r="AV126" s="232">
        <v>0.81399999999999995</v>
      </c>
      <c r="AW126" s="223">
        <v>50</v>
      </c>
      <c r="AX126" s="223">
        <v>49</v>
      </c>
      <c r="AY126" s="235">
        <v>0.98</v>
      </c>
      <c r="AZ126" s="223">
        <v>47</v>
      </c>
      <c r="BA126" s="235">
        <v>0.94</v>
      </c>
      <c r="BB126" s="223">
        <v>47</v>
      </c>
      <c r="BC126" s="232">
        <v>0.94</v>
      </c>
    </row>
    <row r="127" spans="1:55" x14ac:dyDescent="0.25">
      <c r="A127" s="226">
        <v>1</v>
      </c>
      <c r="B127" s="211" t="s">
        <v>117</v>
      </c>
      <c r="C127" s="211">
        <v>557</v>
      </c>
      <c r="D127" s="211" t="s">
        <v>303</v>
      </c>
      <c r="E127" s="211">
        <v>344</v>
      </c>
      <c r="F127" s="211">
        <v>348</v>
      </c>
      <c r="G127" s="211"/>
      <c r="H127" s="220" t="str">
        <f>HYPERLINK("https://map.geo.admin.ch/?zoom=7&amp;E=602600&amp;N=211100&amp;layers=ch.kantone.cadastralwebmap-farbe,ch.swisstopo.amtliches-strassenverzeichnis,ch.bfs.gebaeude_wohnungs_register,KML||https://tinyurl.com/yy7ya4g9/BE/0557_bdg_erw.kml","KML building")</f>
        <v>KML building</v>
      </c>
      <c r="I127" s="154">
        <v>0</v>
      </c>
      <c r="J127" s="243" t="s">
        <v>1088</v>
      </c>
      <c r="K127" s="153">
        <v>0</v>
      </c>
      <c r="L127" s="64">
        <v>0</v>
      </c>
      <c r="M127" s="64"/>
      <c r="N127" s="200">
        <v>0</v>
      </c>
      <c r="O127" s="155"/>
      <c r="P127" s="63"/>
      <c r="Q127" s="64">
        <v>0</v>
      </c>
      <c r="R127" s="64"/>
      <c r="S127" s="200">
        <v>0</v>
      </c>
      <c r="T127" s="155"/>
      <c r="U127" s="63"/>
      <c r="V127" s="64">
        <v>0</v>
      </c>
      <c r="W127" s="64"/>
      <c r="X127" s="200">
        <v>0</v>
      </c>
      <c r="Y127" s="155"/>
      <c r="Z127" s="63"/>
      <c r="AA127" s="64">
        <v>0</v>
      </c>
      <c r="AB127" s="64"/>
      <c r="AC127" s="200">
        <v>0</v>
      </c>
      <c r="AD127" s="156"/>
      <c r="AE127" s="153"/>
      <c r="AF127" s="140">
        <v>0</v>
      </c>
      <c r="AG127" s="140"/>
      <c r="AH127" s="200">
        <v>0</v>
      </c>
      <c r="AI127" s="140"/>
      <c r="AJ127" s="153"/>
      <c r="AK127" s="140">
        <v>0</v>
      </c>
      <c r="AL127" s="140"/>
      <c r="AM127" s="200">
        <v>0</v>
      </c>
      <c r="AN127" s="156"/>
      <c r="AO127" s="230">
        <v>0</v>
      </c>
      <c r="AP127" s="223">
        <v>158</v>
      </c>
      <c r="AQ127" s="223">
        <v>137</v>
      </c>
      <c r="AR127" s="235">
        <v>0.86699999999999999</v>
      </c>
      <c r="AS127" s="223">
        <v>127</v>
      </c>
      <c r="AT127" s="235">
        <v>0.80400000000000005</v>
      </c>
      <c r="AU127" s="223">
        <v>124</v>
      </c>
      <c r="AV127" s="232">
        <v>0.78500000000000003</v>
      </c>
      <c r="AW127" s="223">
        <v>77</v>
      </c>
      <c r="AX127" s="223">
        <v>76</v>
      </c>
      <c r="AY127" s="235">
        <v>0.98699999999999999</v>
      </c>
      <c r="AZ127" s="223">
        <v>71</v>
      </c>
      <c r="BA127" s="235">
        <v>0.92200000000000004</v>
      </c>
      <c r="BB127" s="223">
        <v>70</v>
      </c>
      <c r="BC127" s="232">
        <v>0.90900000000000003</v>
      </c>
    </row>
    <row r="128" spans="1:55" x14ac:dyDescent="0.25">
      <c r="A128" s="226">
        <v>1</v>
      </c>
      <c r="B128" s="211" t="s">
        <v>117</v>
      </c>
      <c r="C128" s="211">
        <v>561</v>
      </c>
      <c r="D128" s="211" t="s">
        <v>304</v>
      </c>
      <c r="E128" s="211">
        <v>3523</v>
      </c>
      <c r="F128" s="211">
        <v>3532</v>
      </c>
      <c r="G128" s="211"/>
      <c r="H128" s="220" t="str">
        <f>HYPERLINK("https://map.geo.admin.ch/?zoom=7&amp;E=609200&amp;N=149100&amp;layers=ch.kantone.cadastralwebmap-farbe,ch.swisstopo.amtliches-strassenverzeichnis,ch.bfs.gebaeude_wohnungs_register,KML||https://tinyurl.com/yy7ya4g9/BE/0561_bdg_erw.kml","KML building")</f>
        <v>KML building</v>
      </c>
      <c r="I128" s="154">
        <v>0</v>
      </c>
      <c r="J128" s="243" t="s">
        <v>1089</v>
      </c>
      <c r="K128" s="153">
        <v>0</v>
      </c>
      <c r="L128" s="64">
        <v>0</v>
      </c>
      <c r="M128" s="64"/>
      <c r="N128" s="200">
        <v>0</v>
      </c>
      <c r="O128" s="155"/>
      <c r="P128" s="63"/>
      <c r="Q128" s="64">
        <v>0</v>
      </c>
      <c r="R128" s="64"/>
      <c r="S128" s="200">
        <v>0</v>
      </c>
      <c r="T128" s="155"/>
      <c r="U128" s="63"/>
      <c r="V128" s="64">
        <v>0</v>
      </c>
      <c r="W128" s="64"/>
      <c r="X128" s="200">
        <v>0</v>
      </c>
      <c r="Y128" s="155"/>
      <c r="Z128" s="63"/>
      <c r="AA128" s="64">
        <v>0</v>
      </c>
      <c r="AB128" s="64"/>
      <c r="AC128" s="200">
        <v>0</v>
      </c>
      <c r="AD128" s="156"/>
      <c r="AE128" s="153"/>
      <c r="AF128" s="140">
        <v>0</v>
      </c>
      <c r="AG128" s="140"/>
      <c r="AH128" s="200">
        <v>0</v>
      </c>
      <c r="AI128" s="140"/>
      <c r="AJ128" s="153"/>
      <c r="AK128" s="140">
        <v>0</v>
      </c>
      <c r="AL128" s="140"/>
      <c r="AM128" s="200">
        <v>0</v>
      </c>
      <c r="AN128" s="156"/>
      <c r="AO128" s="230">
        <v>0</v>
      </c>
      <c r="AP128" s="223">
        <v>1507</v>
      </c>
      <c r="AQ128" s="223">
        <v>1320</v>
      </c>
      <c r="AR128" s="235">
        <v>0.876</v>
      </c>
      <c r="AS128" s="223">
        <v>1153</v>
      </c>
      <c r="AT128" s="235">
        <v>0.76500000000000001</v>
      </c>
      <c r="AU128" s="223">
        <v>1122</v>
      </c>
      <c r="AV128" s="232">
        <v>0.745</v>
      </c>
      <c r="AW128" s="223">
        <v>923</v>
      </c>
      <c r="AX128" s="223">
        <v>890</v>
      </c>
      <c r="AY128" s="235">
        <v>0.96399999999999997</v>
      </c>
      <c r="AZ128" s="223">
        <v>842</v>
      </c>
      <c r="BA128" s="235">
        <v>0.91200000000000003</v>
      </c>
      <c r="BB128" s="223">
        <v>823</v>
      </c>
      <c r="BC128" s="232">
        <v>0.89200000000000002</v>
      </c>
    </row>
    <row r="129" spans="1:55" x14ac:dyDescent="0.25">
      <c r="A129" s="226">
        <v>1</v>
      </c>
      <c r="B129" s="211" t="s">
        <v>117</v>
      </c>
      <c r="C129" s="211">
        <v>562</v>
      </c>
      <c r="D129" s="211" t="s">
        <v>305</v>
      </c>
      <c r="E129" s="211">
        <v>1459</v>
      </c>
      <c r="F129" s="211">
        <v>1466</v>
      </c>
      <c r="G129" s="211"/>
      <c r="H129" s="220" t="str">
        <f>HYPERLINK("https://map.geo.admin.ch/?zoom=7&amp;E=619700&amp;N=167500&amp;layers=ch.kantone.cadastralwebmap-farbe,ch.swisstopo.amtliches-strassenverzeichnis,ch.bfs.gebaeude_wohnungs_register,KML||https://tinyurl.com/yy7ya4g9/BE/0562_bdg_erw.kml","KML building")</f>
        <v>KML building</v>
      </c>
      <c r="I129" s="154">
        <v>16</v>
      </c>
      <c r="J129" s="243" t="s">
        <v>1090</v>
      </c>
      <c r="K129" s="153">
        <v>1.0966415352981495E-2</v>
      </c>
      <c r="L129" s="64">
        <v>0</v>
      </c>
      <c r="M129" s="64"/>
      <c r="N129" s="200">
        <v>0</v>
      </c>
      <c r="O129" s="155"/>
      <c r="P129" s="63"/>
      <c r="Q129" s="64">
        <v>0</v>
      </c>
      <c r="R129" s="64"/>
      <c r="S129" s="200">
        <v>0</v>
      </c>
      <c r="T129" s="155"/>
      <c r="U129" s="63"/>
      <c r="V129" s="64">
        <v>0</v>
      </c>
      <c r="W129" s="64"/>
      <c r="X129" s="200">
        <v>0</v>
      </c>
      <c r="Y129" s="155"/>
      <c r="Z129" s="63"/>
      <c r="AA129" s="64">
        <v>0</v>
      </c>
      <c r="AB129" s="64"/>
      <c r="AC129" s="200">
        <v>0</v>
      </c>
      <c r="AD129" s="156"/>
      <c r="AE129" s="153"/>
      <c r="AF129" s="140">
        <v>1</v>
      </c>
      <c r="AG129" s="140"/>
      <c r="AH129" s="200">
        <v>6.9999999999999999E-4</v>
      </c>
      <c r="AI129" s="140"/>
      <c r="AJ129" s="153"/>
      <c r="AK129" s="140">
        <v>1</v>
      </c>
      <c r="AL129" s="140"/>
      <c r="AM129" s="200">
        <v>6.9999999999999999E-4</v>
      </c>
      <c r="AN129" s="156"/>
      <c r="AO129" s="230">
        <v>1.4E-3</v>
      </c>
      <c r="AP129" s="223">
        <v>656</v>
      </c>
      <c r="AQ129" s="223">
        <v>527</v>
      </c>
      <c r="AR129" s="235">
        <v>0.80300000000000005</v>
      </c>
      <c r="AS129" s="223">
        <v>533</v>
      </c>
      <c r="AT129" s="235">
        <v>0.81299999999999994</v>
      </c>
      <c r="AU129" s="223">
        <v>503</v>
      </c>
      <c r="AV129" s="232">
        <v>0.76700000000000002</v>
      </c>
      <c r="AW129" s="223">
        <v>462</v>
      </c>
      <c r="AX129" s="223">
        <v>430</v>
      </c>
      <c r="AY129" s="235">
        <v>0.93100000000000005</v>
      </c>
      <c r="AZ129" s="223">
        <v>425</v>
      </c>
      <c r="BA129" s="235">
        <v>0.92</v>
      </c>
      <c r="BB129" s="223">
        <v>413</v>
      </c>
      <c r="BC129" s="232">
        <v>0.89400000000000002</v>
      </c>
    </row>
    <row r="130" spans="1:55" x14ac:dyDescent="0.25">
      <c r="A130" s="226">
        <v>1</v>
      </c>
      <c r="B130" s="211" t="s">
        <v>117</v>
      </c>
      <c r="C130" s="211">
        <v>563</v>
      </c>
      <c r="D130" s="211" t="s">
        <v>306</v>
      </c>
      <c r="E130" s="211">
        <v>4785</v>
      </c>
      <c r="F130" s="211">
        <v>4801</v>
      </c>
      <c r="G130" s="211"/>
      <c r="H130" s="220" t="str">
        <f>HYPERLINK("https://map.geo.admin.ch/?zoom=7&amp;E=616000&amp;N=159700&amp;layers=ch.kantone.cadastralwebmap-farbe,ch.swisstopo.amtliches-strassenverzeichnis,ch.bfs.gebaeude_wohnungs_register,KML||https://tinyurl.com/yy7ya4g9/BE/0563_bdg_erw.kml","KML building")</f>
        <v>KML building</v>
      </c>
      <c r="I130" s="154">
        <v>1</v>
      </c>
      <c r="J130" s="243" t="s">
        <v>1091</v>
      </c>
      <c r="K130" s="153">
        <v>2.0898641588296761E-4</v>
      </c>
      <c r="L130" s="64">
        <v>0</v>
      </c>
      <c r="M130" s="64"/>
      <c r="N130" s="200">
        <v>0</v>
      </c>
      <c r="O130" s="155"/>
      <c r="P130" s="63"/>
      <c r="Q130" s="64">
        <v>0</v>
      </c>
      <c r="R130" s="64"/>
      <c r="S130" s="200">
        <v>0</v>
      </c>
      <c r="T130" s="155"/>
      <c r="U130" s="63"/>
      <c r="V130" s="64">
        <v>0</v>
      </c>
      <c r="W130" s="64"/>
      <c r="X130" s="200">
        <v>0</v>
      </c>
      <c r="Y130" s="155"/>
      <c r="Z130" s="63"/>
      <c r="AA130" s="64">
        <v>16</v>
      </c>
      <c r="AB130" s="64"/>
      <c r="AC130" s="200">
        <v>3.3E-3</v>
      </c>
      <c r="AD130" s="156"/>
      <c r="AE130" s="153"/>
      <c r="AF130" s="140">
        <v>55</v>
      </c>
      <c r="AG130" s="140"/>
      <c r="AH130" s="200">
        <v>1.15E-2</v>
      </c>
      <c r="AI130" s="140"/>
      <c r="AJ130" s="153"/>
      <c r="AK130" s="140">
        <v>0</v>
      </c>
      <c r="AL130" s="140"/>
      <c r="AM130" s="200">
        <v>0</v>
      </c>
      <c r="AN130" s="156"/>
      <c r="AO130" s="230">
        <v>1.4800000000000001E-2</v>
      </c>
      <c r="AP130" s="223">
        <v>2545</v>
      </c>
      <c r="AQ130" s="223">
        <v>2532</v>
      </c>
      <c r="AR130" s="235">
        <v>0.995</v>
      </c>
      <c r="AS130" s="223">
        <v>1991</v>
      </c>
      <c r="AT130" s="235">
        <v>0.78200000000000003</v>
      </c>
      <c r="AU130" s="223">
        <v>1980</v>
      </c>
      <c r="AV130" s="232">
        <v>0.77800000000000002</v>
      </c>
      <c r="AW130" s="223">
        <v>1653</v>
      </c>
      <c r="AX130" s="223">
        <v>1643</v>
      </c>
      <c r="AY130" s="235">
        <v>0.99399999999999999</v>
      </c>
      <c r="AZ130" s="223">
        <v>1513</v>
      </c>
      <c r="BA130" s="235">
        <v>0.91500000000000004</v>
      </c>
      <c r="BB130" s="223">
        <v>1504</v>
      </c>
      <c r="BC130" s="232">
        <v>0.91</v>
      </c>
    </row>
    <row r="131" spans="1:55" x14ac:dyDescent="0.25">
      <c r="A131" s="226">
        <v>1</v>
      </c>
      <c r="B131" s="211" t="s">
        <v>117</v>
      </c>
      <c r="C131" s="211">
        <v>564</v>
      </c>
      <c r="D131" s="211" t="s">
        <v>307</v>
      </c>
      <c r="E131" s="211">
        <v>1015</v>
      </c>
      <c r="F131" s="211">
        <v>1015</v>
      </c>
      <c r="G131" s="211"/>
      <c r="H131" s="220" t="str">
        <f>HYPERLINK("https://map.geo.admin.ch/?zoom=7&amp;E=617200&amp;N=155000&amp;layers=ch.kantone.cadastralwebmap-farbe,ch.swisstopo.amtliches-strassenverzeichnis,ch.bfs.gebaeude_wohnungs_register,KML||https://tinyurl.com/yy7ya4g9/BE/0564_bdg_erw.kml","KML building")</f>
        <v>KML building</v>
      </c>
      <c r="I131" s="154">
        <v>0</v>
      </c>
      <c r="J131" s="243" t="s">
        <v>1092</v>
      </c>
      <c r="K131" s="153">
        <v>0</v>
      </c>
      <c r="L131" s="64">
        <v>0</v>
      </c>
      <c r="M131" s="64"/>
      <c r="N131" s="200">
        <v>0</v>
      </c>
      <c r="O131" s="155"/>
      <c r="P131" s="63"/>
      <c r="Q131" s="64">
        <v>0</v>
      </c>
      <c r="R131" s="64"/>
      <c r="S131" s="200">
        <v>0</v>
      </c>
      <c r="T131" s="155"/>
      <c r="U131" s="63"/>
      <c r="V131" s="64">
        <v>0</v>
      </c>
      <c r="W131" s="64"/>
      <c r="X131" s="200">
        <v>0</v>
      </c>
      <c r="Y131" s="155"/>
      <c r="Z131" s="63"/>
      <c r="AA131" s="64">
        <v>0</v>
      </c>
      <c r="AB131" s="64"/>
      <c r="AC131" s="200">
        <v>0</v>
      </c>
      <c r="AD131" s="156"/>
      <c r="AE131" s="153"/>
      <c r="AF131" s="140">
        <v>2</v>
      </c>
      <c r="AG131" s="140"/>
      <c r="AH131" s="200">
        <v>2E-3</v>
      </c>
      <c r="AI131" s="140"/>
      <c r="AJ131" s="153"/>
      <c r="AK131" s="140">
        <v>0</v>
      </c>
      <c r="AL131" s="140"/>
      <c r="AM131" s="200">
        <v>0</v>
      </c>
      <c r="AN131" s="156"/>
      <c r="AO131" s="230">
        <v>2E-3</v>
      </c>
      <c r="AP131" s="223">
        <v>565</v>
      </c>
      <c r="AQ131" s="223">
        <v>517</v>
      </c>
      <c r="AR131" s="235">
        <v>0.91500000000000004</v>
      </c>
      <c r="AS131" s="223">
        <v>445</v>
      </c>
      <c r="AT131" s="235">
        <v>0.78800000000000003</v>
      </c>
      <c r="AU131" s="223">
        <v>440</v>
      </c>
      <c r="AV131" s="232">
        <v>0.77900000000000003</v>
      </c>
      <c r="AW131" s="223">
        <v>344</v>
      </c>
      <c r="AX131" s="223">
        <v>340</v>
      </c>
      <c r="AY131" s="235">
        <v>0.98799999999999999</v>
      </c>
      <c r="AZ131" s="223">
        <v>326</v>
      </c>
      <c r="BA131" s="235">
        <v>0.94799999999999995</v>
      </c>
      <c r="BB131" s="223">
        <v>322</v>
      </c>
      <c r="BC131" s="232">
        <v>0.93600000000000005</v>
      </c>
    </row>
    <row r="132" spans="1:55" x14ac:dyDescent="0.25">
      <c r="A132" s="226">
        <v>1</v>
      </c>
      <c r="B132" s="211" t="s">
        <v>117</v>
      </c>
      <c r="C132" s="211">
        <v>565</v>
      </c>
      <c r="D132" s="211" t="s">
        <v>308</v>
      </c>
      <c r="E132" s="211">
        <v>1307</v>
      </c>
      <c r="F132" s="211">
        <v>1314</v>
      </c>
      <c r="G132" s="211"/>
      <c r="H132" s="220" t="str">
        <f>HYPERLINK("https://map.geo.admin.ch/?zoom=7&amp;E=618100&amp;N=149300&amp;layers=ch.kantone.cadastralwebmap-farbe,ch.swisstopo.amtliches-strassenverzeichnis,ch.bfs.gebaeude_wohnungs_register,KML||https://tinyurl.com/yy7ya4g9/BE/0565_bdg_erw.kml","KML building")</f>
        <v>KML building</v>
      </c>
      <c r="I132" s="154">
        <v>0</v>
      </c>
      <c r="J132" s="243" t="s">
        <v>1093</v>
      </c>
      <c r="K132" s="153">
        <v>0</v>
      </c>
      <c r="L132" s="64">
        <v>0</v>
      </c>
      <c r="M132" s="64"/>
      <c r="N132" s="200">
        <v>0</v>
      </c>
      <c r="O132" s="155"/>
      <c r="P132" s="63"/>
      <c r="Q132" s="64">
        <v>0</v>
      </c>
      <c r="R132" s="64"/>
      <c r="S132" s="200">
        <v>0</v>
      </c>
      <c r="T132" s="155"/>
      <c r="U132" s="63"/>
      <c r="V132" s="64">
        <v>0</v>
      </c>
      <c r="W132" s="64"/>
      <c r="X132" s="200">
        <v>0</v>
      </c>
      <c r="Y132" s="155"/>
      <c r="Z132" s="63"/>
      <c r="AA132" s="64">
        <v>0</v>
      </c>
      <c r="AB132" s="64"/>
      <c r="AC132" s="200">
        <v>0</v>
      </c>
      <c r="AD132" s="156"/>
      <c r="AE132" s="153"/>
      <c r="AF132" s="140">
        <v>1</v>
      </c>
      <c r="AG132" s="140"/>
      <c r="AH132" s="200">
        <v>8.0000000000000004E-4</v>
      </c>
      <c r="AI132" s="140"/>
      <c r="AJ132" s="153"/>
      <c r="AK132" s="140">
        <v>1</v>
      </c>
      <c r="AL132" s="140"/>
      <c r="AM132" s="200">
        <v>8.0000000000000004E-4</v>
      </c>
      <c r="AN132" s="156"/>
      <c r="AO132" s="230">
        <v>1.6000000000000001E-3</v>
      </c>
      <c r="AP132" s="223">
        <v>508</v>
      </c>
      <c r="AQ132" s="223">
        <v>428</v>
      </c>
      <c r="AR132" s="235">
        <v>0.84299999999999997</v>
      </c>
      <c r="AS132" s="223">
        <v>416</v>
      </c>
      <c r="AT132" s="235">
        <v>0.81899999999999995</v>
      </c>
      <c r="AU132" s="223">
        <v>379</v>
      </c>
      <c r="AV132" s="232">
        <v>0.746</v>
      </c>
      <c r="AW132" s="223">
        <v>315</v>
      </c>
      <c r="AX132" s="223">
        <v>288</v>
      </c>
      <c r="AY132" s="235">
        <v>0.91400000000000003</v>
      </c>
      <c r="AZ132" s="223">
        <v>279</v>
      </c>
      <c r="BA132" s="235">
        <v>0.88600000000000001</v>
      </c>
      <c r="BB132" s="223">
        <v>262</v>
      </c>
      <c r="BC132" s="232">
        <v>0.83199999999999996</v>
      </c>
    </row>
    <row r="133" spans="1:55" x14ac:dyDescent="0.25">
      <c r="A133" s="226">
        <v>1</v>
      </c>
      <c r="B133" s="211" t="s">
        <v>117</v>
      </c>
      <c r="C133" s="211">
        <v>566</v>
      </c>
      <c r="D133" s="211" t="s">
        <v>309</v>
      </c>
      <c r="E133" s="211">
        <v>748</v>
      </c>
      <c r="F133" s="211">
        <v>750</v>
      </c>
      <c r="G133" s="211"/>
      <c r="H133" s="220" t="str">
        <f>HYPERLINK("https://map.geo.admin.ch/?zoom=7&amp;E=622100&amp;N=167900&amp;layers=ch.kantone.cadastralwebmap-farbe,ch.swisstopo.amtliches-strassenverzeichnis,ch.bfs.gebaeude_wohnungs_register,KML||https://tinyurl.com/yy7ya4g9/BE/0566_bdg_erw.kml","KML building")</f>
        <v>KML building</v>
      </c>
      <c r="I133" s="154">
        <v>2</v>
      </c>
      <c r="J133" s="243" t="s">
        <v>1094</v>
      </c>
      <c r="K133" s="153">
        <v>2.6737967914438501E-3</v>
      </c>
      <c r="L133" s="64">
        <v>0</v>
      </c>
      <c r="M133" s="64"/>
      <c r="N133" s="200">
        <v>0</v>
      </c>
      <c r="O133" s="155"/>
      <c r="P133" s="63"/>
      <c r="Q133" s="64">
        <v>0</v>
      </c>
      <c r="R133" s="64"/>
      <c r="S133" s="200">
        <v>0</v>
      </c>
      <c r="T133" s="155"/>
      <c r="U133" s="63"/>
      <c r="V133" s="64">
        <v>0</v>
      </c>
      <c r="W133" s="64"/>
      <c r="X133" s="200">
        <v>0</v>
      </c>
      <c r="Y133" s="155"/>
      <c r="Z133" s="63"/>
      <c r="AA133" s="64">
        <v>0</v>
      </c>
      <c r="AB133" s="64"/>
      <c r="AC133" s="200">
        <v>0</v>
      </c>
      <c r="AD133" s="156"/>
      <c r="AE133" s="153"/>
      <c r="AF133" s="140">
        <v>1</v>
      </c>
      <c r="AG133" s="140"/>
      <c r="AH133" s="200">
        <v>1.2999999999999999E-3</v>
      </c>
      <c r="AI133" s="140"/>
      <c r="AJ133" s="153"/>
      <c r="AK133" s="140">
        <v>0</v>
      </c>
      <c r="AL133" s="140"/>
      <c r="AM133" s="200">
        <v>0</v>
      </c>
      <c r="AN133" s="156"/>
      <c r="AO133" s="230">
        <v>1.2999999999999999E-3</v>
      </c>
      <c r="AP133" s="223">
        <v>268</v>
      </c>
      <c r="AQ133" s="223">
        <v>226</v>
      </c>
      <c r="AR133" s="235">
        <v>0.84299999999999997</v>
      </c>
      <c r="AS133" s="223">
        <v>212</v>
      </c>
      <c r="AT133" s="235">
        <v>0.79100000000000004</v>
      </c>
      <c r="AU133" s="223">
        <v>195</v>
      </c>
      <c r="AV133" s="232">
        <v>0.72799999999999998</v>
      </c>
      <c r="AW133" s="223">
        <v>144</v>
      </c>
      <c r="AX133" s="223">
        <v>131</v>
      </c>
      <c r="AY133" s="235">
        <v>0.91</v>
      </c>
      <c r="AZ133" s="223">
        <v>120</v>
      </c>
      <c r="BA133" s="235">
        <v>0.83299999999999996</v>
      </c>
      <c r="BB133" s="223">
        <v>114</v>
      </c>
      <c r="BC133" s="232">
        <v>0.79200000000000004</v>
      </c>
    </row>
    <row r="134" spans="1:55" x14ac:dyDescent="0.25">
      <c r="A134" s="226">
        <v>1</v>
      </c>
      <c r="B134" s="211" t="s">
        <v>117</v>
      </c>
      <c r="C134" s="211">
        <v>567</v>
      </c>
      <c r="D134" s="211" t="s">
        <v>310</v>
      </c>
      <c r="E134" s="211">
        <v>3028</v>
      </c>
      <c r="F134" s="211">
        <v>3058</v>
      </c>
      <c r="G134" s="211"/>
      <c r="H134" s="220" t="str">
        <f>HYPERLINK("https://map.geo.admin.ch/?zoom=7&amp;E=619500&amp;N=163800&amp;layers=ch.kantone.cadastralwebmap-farbe,ch.swisstopo.amtliches-strassenverzeichnis,ch.bfs.gebaeude_wohnungs_register,KML||https://tinyurl.com/yy7ya4g9/BE/0567_bdg_erw.kml","KML building")</f>
        <v>KML building</v>
      </c>
      <c r="I134" s="154">
        <v>299</v>
      </c>
      <c r="J134" s="243" t="s">
        <v>1095</v>
      </c>
      <c r="K134" s="153">
        <v>9.8745046235138703E-2</v>
      </c>
      <c r="L134" s="64">
        <v>0</v>
      </c>
      <c r="M134" s="64"/>
      <c r="N134" s="200">
        <v>0</v>
      </c>
      <c r="O134" s="155"/>
      <c r="P134" s="63"/>
      <c r="Q134" s="64">
        <v>0</v>
      </c>
      <c r="R134" s="64"/>
      <c r="S134" s="200">
        <v>0</v>
      </c>
      <c r="T134" s="155"/>
      <c r="U134" s="63"/>
      <c r="V134" s="64">
        <v>50</v>
      </c>
      <c r="W134" s="64"/>
      <c r="X134" s="200">
        <v>1.6400000000000001E-2</v>
      </c>
      <c r="Y134" s="155"/>
      <c r="Z134" s="63"/>
      <c r="AA134" s="64">
        <v>0</v>
      </c>
      <c r="AB134" s="64"/>
      <c r="AC134" s="200">
        <v>0</v>
      </c>
      <c r="AD134" s="156"/>
      <c r="AE134" s="153"/>
      <c r="AF134" s="140">
        <v>51</v>
      </c>
      <c r="AG134" s="140"/>
      <c r="AH134" s="200">
        <v>1.6799999999999999E-2</v>
      </c>
      <c r="AI134" s="140"/>
      <c r="AJ134" s="153"/>
      <c r="AK134" s="140">
        <v>0</v>
      </c>
      <c r="AL134" s="140"/>
      <c r="AM134" s="200">
        <v>0</v>
      </c>
      <c r="AN134" s="156"/>
      <c r="AO134" s="230">
        <v>3.32E-2</v>
      </c>
      <c r="AP134" s="223">
        <v>1271</v>
      </c>
      <c r="AQ134" s="223">
        <v>1014</v>
      </c>
      <c r="AR134" s="235">
        <v>0.79800000000000004</v>
      </c>
      <c r="AS134" s="223">
        <v>970</v>
      </c>
      <c r="AT134" s="235">
        <v>0.76300000000000001</v>
      </c>
      <c r="AU134" s="223">
        <v>907</v>
      </c>
      <c r="AV134" s="232">
        <v>0.71399999999999997</v>
      </c>
      <c r="AW134" s="223">
        <v>808</v>
      </c>
      <c r="AX134" s="223">
        <v>760</v>
      </c>
      <c r="AY134" s="235">
        <v>0.94099999999999995</v>
      </c>
      <c r="AZ134" s="223">
        <v>738</v>
      </c>
      <c r="BA134" s="235">
        <v>0.91300000000000003</v>
      </c>
      <c r="BB134" s="223">
        <v>713</v>
      </c>
      <c r="BC134" s="232">
        <v>0.88200000000000001</v>
      </c>
    </row>
    <row r="135" spans="1:55" x14ac:dyDescent="0.25">
      <c r="A135" s="226">
        <v>1</v>
      </c>
      <c r="B135" s="211" t="s">
        <v>117</v>
      </c>
      <c r="C135" s="211">
        <v>571</v>
      </c>
      <c r="D135" s="211" t="s">
        <v>311</v>
      </c>
      <c r="E135" s="211">
        <v>1661</v>
      </c>
      <c r="F135" s="211">
        <v>1665</v>
      </c>
      <c r="G135" s="211"/>
      <c r="H135" s="220" t="str">
        <f>HYPERLINK("https://map.geo.admin.ch/?zoom=7&amp;E=627300&amp;N=172000&amp;layers=ch.kantone.cadastralwebmap-farbe,ch.swisstopo.amtliches-strassenverzeichnis,ch.bfs.gebaeude_wohnungs_register,KML||https://tinyurl.com/yy7ya4g9/BE/0571_bdg_erw.kml","KML building")</f>
        <v>KML building</v>
      </c>
      <c r="I135" s="154">
        <v>1</v>
      </c>
      <c r="J135" s="243" t="s">
        <v>1096</v>
      </c>
      <c r="K135" s="153">
        <v>6.020469596628537E-4</v>
      </c>
      <c r="L135" s="64">
        <v>0</v>
      </c>
      <c r="M135" s="64"/>
      <c r="N135" s="200">
        <v>0</v>
      </c>
      <c r="O135" s="155"/>
      <c r="P135" s="63"/>
      <c r="Q135" s="64">
        <v>0</v>
      </c>
      <c r="R135" s="64"/>
      <c r="S135" s="200">
        <v>0</v>
      </c>
      <c r="T135" s="155"/>
      <c r="U135" s="63"/>
      <c r="V135" s="64">
        <v>0</v>
      </c>
      <c r="W135" s="64"/>
      <c r="X135" s="200">
        <v>0</v>
      </c>
      <c r="Y135" s="155"/>
      <c r="Z135" s="63"/>
      <c r="AA135" s="64">
        <v>2</v>
      </c>
      <c r="AB135" s="64"/>
      <c r="AC135" s="200">
        <v>1.1999999999999999E-3</v>
      </c>
      <c r="AD135" s="156"/>
      <c r="AE135" s="153"/>
      <c r="AF135" s="140">
        <v>2</v>
      </c>
      <c r="AG135" s="140"/>
      <c r="AH135" s="200">
        <v>1.1999999999999999E-3</v>
      </c>
      <c r="AI135" s="140"/>
      <c r="AJ135" s="153"/>
      <c r="AK135" s="140">
        <v>2</v>
      </c>
      <c r="AL135" s="140"/>
      <c r="AM135" s="200">
        <v>1.1999999999999999E-3</v>
      </c>
      <c r="AN135" s="156"/>
      <c r="AO135" s="230">
        <v>3.5999999999999999E-3</v>
      </c>
      <c r="AP135" s="223">
        <v>864</v>
      </c>
      <c r="AQ135" s="223">
        <v>699</v>
      </c>
      <c r="AR135" s="235">
        <v>0.80900000000000005</v>
      </c>
      <c r="AS135" s="223">
        <v>720</v>
      </c>
      <c r="AT135" s="235">
        <v>0.83299999999999996</v>
      </c>
      <c r="AU135" s="223">
        <v>662</v>
      </c>
      <c r="AV135" s="232">
        <v>0.76600000000000001</v>
      </c>
      <c r="AW135" s="223">
        <v>561</v>
      </c>
      <c r="AX135" s="223">
        <v>510</v>
      </c>
      <c r="AY135" s="235">
        <v>0.90900000000000003</v>
      </c>
      <c r="AZ135" s="223">
        <v>507</v>
      </c>
      <c r="BA135" s="235">
        <v>0.90400000000000003</v>
      </c>
      <c r="BB135" s="223">
        <v>489</v>
      </c>
      <c r="BC135" s="232">
        <v>0.872</v>
      </c>
    </row>
    <row r="136" spans="1:55" x14ac:dyDescent="0.25">
      <c r="A136" s="226">
        <v>1</v>
      </c>
      <c r="B136" s="211" t="s">
        <v>117</v>
      </c>
      <c r="C136" s="211">
        <v>572</v>
      </c>
      <c r="D136" s="211" t="s">
        <v>312</v>
      </c>
      <c r="E136" s="211">
        <v>1422</v>
      </c>
      <c r="F136" s="211">
        <v>1460</v>
      </c>
      <c r="G136" s="211"/>
      <c r="H136" s="220" t="str">
        <f>HYPERLINK("https://map.geo.admin.ch/?zoom=7&amp;E=634900&amp;N=170600&amp;layers=ch.kantone.cadastralwebmap-farbe,ch.swisstopo.amtliches-strassenverzeichnis,ch.bfs.gebaeude_wohnungs_register,KML||https://tinyurl.com/yy7ya4g9/BE/0572_bdg_erw.kml","KML building")</f>
        <v>KML building</v>
      </c>
      <c r="I136" s="154">
        <v>0</v>
      </c>
      <c r="J136" s="243" t="s">
        <v>1097</v>
      </c>
      <c r="K136" s="153">
        <v>0</v>
      </c>
      <c r="L136" s="64">
        <v>0</v>
      </c>
      <c r="M136" s="64"/>
      <c r="N136" s="200">
        <v>0</v>
      </c>
      <c r="O136" s="155"/>
      <c r="P136" s="63"/>
      <c r="Q136" s="64">
        <v>0</v>
      </c>
      <c r="R136" s="64"/>
      <c r="S136" s="200">
        <v>0</v>
      </c>
      <c r="T136" s="155"/>
      <c r="U136" s="63"/>
      <c r="V136" s="64">
        <v>1</v>
      </c>
      <c r="W136" s="64"/>
      <c r="X136" s="200">
        <v>6.9999999999999999E-4</v>
      </c>
      <c r="Y136" s="155"/>
      <c r="Z136" s="63"/>
      <c r="AA136" s="64">
        <v>0</v>
      </c>
      <c r="AB136" s="64"/>
      <c r="AC136" s="200">
        <v>0</v>
      </c>
      <c r="AD136" s="156"/>
      <c r="AE136" s="153"/>
      <c r="AF136" s="140">
        <v>0</v>
      </c>
      <c r="AG136" s="140"/>
      <c r="AH136" s="200">
        <v>0</v>
      </c>
      <c r="AI136" s="140"/>
      <c r="AJ136" s="153"/>
      <c r="AK136" s="140">
        <v>0</v>
      </c>
      <c r="AL136" s="140"/>
      <c r="AM136" s="200">
        <v>0</v>
      </c>
      <c r="AN136" s="156"/>
      <c r="AO136" s="230">
        <v>6.9999999999999999E-4</v>
      </c>
      <c r="AP136" s="223">
        <v>587</v>
      </c>
      <c r="AQ136" s="223">
        <v>534</v>
      </c>
      <c r="AR136" s="235">
        <v>0.91</v>
      </c>
      <c r="AS136" s="223">
        <v>473</v>
      </c>
      <c r="AT136" s="235">
        <v>0.80600000000000005</v>
      </c>
      <c r="AU136" s="223">
        <v>468</v>
      </c>
      <c r="AV136" s="232">
        <v>0.79700000000000004</v>
      </c>
      <c r="AW136" s="223">
        <v>306</v>
      </c>
      <c r="AX136" s="223">
        <v>291</v>
      </c>
      <c r="AY136" s="235">
        <v>0.95099999999999996</v>
      </c>
      <c r="AZ136" s="223">
        <v>268</v>
      </c>
      <c r="BA136" s="235">
        <v>0.876</v>
      </c>
      <c r="BB136" s="223">
        <v>264</v>
      </c>
      <c r="BC136" s="232">
        <v>0.86299999999999999</v>
      </c>
    </row>
    <row r="137" spans="1:55" x14ac:dyDescent="0.25">
      <c r="A137" s="226">
        <v>1</v>
      </c>
      <c r="B137" s="211" t="s">
        <v>117</v>
      </c>
      <c r="C137" s="211">
        <v>573</v>
      </c>
      <c r="D137" s="211" t="s">
        <v>313</v>
      </c>
      <c r="E137" s="211">
        <v>3090</v>
      </c>
      <c r="F137" s="211">
        <v>3096</v>
      </c>
      <c r="G137" s="211"/>
      <c r="H137" s="220" t="str">
        <f>HYPERLINK("https://map.geo.admin.ch/?zoom=7&amp;E=645300&amp;N=178500&amp;layers=ch.kantone.cadastralwebmap-farbe,ch.swisstopo.amtliches-strassenverzeichnis,ch.bfs.gebaeude_wohnungs_register,KML||https://tinyurl.com/yy7ya4g9/BE/0573_bdg_erw.kml","KML building")</f>
        <v>KML building</v>
      </c>
      <c r="I137" s="154">
        <v>0</v>
      </c>
      <c r="J137" s="243" t="s">
        <v>1098</v>
      </c>
      <c r="K137" s="153">
        <v>0</v>
      </c>
      <c r="L137" s="64">
        <v>0</v>
      </c>
      <c r="M137" s="64"/>
      <c r="N137" s="200">
        <v>0</v>
      </c>
      <c r="O137" s="155"/>
      <c r="P137" s="63"/>
      <c r="Q137" s="64">
        <v>0</v>
      </c>
      <c r="R137" s="64"/>
      <c r="S137" s="200">
        <v>0</v>
      </c>
      <c r="T137" s="155"/>
      <c r="U137" s="63"/>
      <c r="V137" s="64">
        <v>0</v>
      </c>
      <c r="W137" s="64"/>
      <c r="X137" s="200">
        <v>0</v>
      </c>
      <c r="Y137" s="155"/>
      <c r="Z137" s="63"/>
      <c r="AA137" s="64">
        <v>0</v>
      </c>
      <c r="AB137" s="64"/>
      <c r="AC137" s="200">
        <v>0</v>
      </c>
      <c r="AD137" s="156"/>
      <c r="AE137" s="153"/>
      <c r="AF137" s="140">
        <v>4</v>
      </c>
      <c r="AG137" s="140"/>
      <c r="AH137" s="200">
        <v>1.2999999999999999E-3</v>
      </c>
      <c r="AI137" s="140"/>
      <c r="AJ137" s="153"/>
      <c r="AK137" s="140">
        <v>1</v>
      </c>
      <c r="AL137" s="140"/>
      <c r="AM137" s="200">
        <v>2.9999999999999997E-4</v>
      </c>
      <c r="AN137" s="156"/>
      <c r="AO137" s="230">
        <v>1.5999999999999999E-3</v>
      </c>
      <c r="AP137" s="223">
        <v>1541</v>
      </c>
      <c r="AQ137" s="223">
        <v>1503</v>
      </c>
      <c r="AR137" s="235">
        <v>0.97499999999999998</v>
      </c>
      <c r="AS137" s="223">
        <v>1287</v>
      </c>
      <c r="AT137" s="235">
        <v>0.83499999999999996</v>
      </c>
      <c r="AU137" s="223">
        <v>1255</v>
      </c>
      <c r="AV137" s="232">
        <v>0.81399999999999995</v>
      </c>
      <c r="AW137" s="223">
        <v>937</v>
      </c>
      <c r="AX137" s="223">
        <v>906</v>
      </c>
      <c r="AY137" s="235">
        <v>0.96699999999999997</v>
      </c>
      <c r="AZ137" s="223">
        <v>868</v>
      </c>
      <c r="BA137" s="235">
        <v>0.92600000000000005</v>
      </c>
      <c r="BB137" s="223">
        <v>837</v>
      </c>
      <c r="BC137" s="232">
        <v>0.89300000000000002</v>
      </c>
    </row>
    <row r="138" spans="1:55" x14ac:dyDescent="0.25">
      <c r="A138" s="226">
        <v>1</v>
      </c>
      <c r="B138" s="211" t="s">
        <v>117</v>
      </c>
      <c r="C138" s="211">
        <v>574</v>
      </c>
      <c r="D138" s="211" t="s">
        <v>314</v>
      </c>
      <c r="E138" s="211">
        <v>728</v>
      </c>
      <c r="F138" s="211">
        <v>735</v>
      </c>
      <c r="G138" s="211"/>
      <c r="H138" s="220" t="str">
        <f>HYPERLINK("https://map.geo.admin.ch/?zoom=7&amp;E=650600&amp;N=178100&amp;layers=ch.kantone.cadastralwebmap-farbe,ch.swisstopo.amtliches-strassenverzeichnis,ch.bfs.gebaeude_wohnungs_register,KML||https://tinyurl.com/yy7ya4g9/BE/0574_bdg_erw.kml","KML building")</f>
        <v>KML building</v>
      </c>
      <c r="I138" s="154">
        <v>0</v>
      </c>
      <c r="J138" s="243" t="s">
        <v>1099</v>
      </c>
      <c r="K138" s="153">
        <v>0</v>
      </c>
      <c r="L138" s="64">
        <v>0</v>
      </c>
      <c r="M138" s="64"/>
      <c r="N138" s="200">
        <v>0</v>
      </c>
      <c r="O138" s="155"/>
      <c r="P138" s="63"/>
      <c r="Q138" s="64">
        <v>0</v>
      </c>
      <c r="R138" s="64"/>
      <c r="S138" s="200">
        <v>0</v>
      </c>
      <c r="T138" s="155"/>
      <c r="U138" s="63"/>
      <c r="V138" s="64">
        <v>0</v>
      </c>
      <c r="W138" s="64"/>
      <c r="X138" s="200">
        <v>0</v>
      </c>
      <c r="Y138" s="155"/>
      <c r="Z138" s="63"/>
      <c r="AA138" s="64">
        <v>0</v>
      </c>
      <c r="AB138" s="64"/>
      <c r="AC138" s="200">
        <v>0</v>
      </c>
      <c r="AD138" s="156"/>
      <c r="AE138" s="153"/>
      <c r="AF138" s="140">
        <v>4</v>
      </c>
      <c r="AG138" s="140"/>
      <c r="AH138" s="200">
        <v>5.4999999999999997E-3</v>
      </c>
      <c r="AI138" s="140"/>
      <c r="AJ138" s="153"/>
      <c r="AK138" s="140">
        <v>0</v>
      </c>
      <c r="AL138" s="140"/>
      <c r="AM138" s="200">
        <v>0</v>
      </c>
      <c r="AN138" s="156"/>
      <c r="AO138" s="230">
        <v>5.4999999999999997E-3</v>
      </c>
      <c r="AP138" s="223">
        <v>403</v>
      </c>
      <c r="AQ138" s="223">
        <v>343</v>
      </c>
      <c r="AR138" s="235">
        <v>0.85099999999999998</v>
      </c>
      <c r="AS138" s="223">
        <v>338</v>
      </c>
      <c r="AT138" s="235">
        <v>0.83899999999999997</v>
      </c>
      <c r="AU138" s="223">
        <v>319</v>
      </c>
      <c r="AV138" s="232">
        <v>0.79200000000000004</v>
      </c>
      <c r="AW138" s="223">
        <v>242</v>
      </c>
      <c r="AX138" s="223">
        <v>235</v>
      </c>
      <c r="AY138" s="235">
        <v>0.97099999999999997</v>
      </c>
      <c r="AZ138" s="223">
        <v>220</v>
      </c>
      <c r="BA138" s="235">
        <v>0.90900000000000003</v>
      </c>
      <c r="BB138" s="223">
        <v>220</v>
      </c>
      <c r="BC138" s="232">
        <v>0.90900000000000003</v>
      </c>
    </row>
    <row r="139" spans="1:55" x14ac:dyDescent="0.25">
      <c r="A139" s="226">
        <v>1</v>
      </c>
      <c r="B139" s="211" t="s">
        <v>117</v>
      </c>
      <c r="C139" s="211">
        <v>575</v>
      </c>
      <c r="D139" s="211" t="s">
        <v>315</v>
      </c>
      <c r="E139" s="211">
        <v>391</v>
      </c>
      <c r="F139" s="211">
        <v>395</v>
      </c>
      <c r="G139" s="211"/>
      <c r="H139" s="220" t="str">
        <f>HYPERLINK("https://map.geo.admin.ch/?zoom=7&amp;E=628300&amp;N=167900&amp;layers=ch.kantone.cadastralwebmap-farbe,ch.swisstopo.amtliches-strassenverzeichnis,ch.bfs.gebaeude_wohnungs_register,KML||https://tinyurl.com/yy7ya4g9/BE/0575_bdg_erw.kml","KML building")</f>
        <v>KML building</v>
      </c>
      <c r="I139" s="154">
        <v>0</v>
      </c>
      <c r="J139" s="243" t="s">
        <v>1100</v>
      </c>
      <c r="K139" s="153">
        <v>0</v>
      </c>
      <c r="L139" s="64">
        <v>0</v>
      </c>
      <c r="M139" s="64"/>
      <c r="N139" s="200">
        <v>0</v>
      </c>
      <c r="O139" s="155"/>
      <c r="P139" s="63"/>
      <c r="Q139" s="64">
        <v>0</v>
      </c>
      <c r="R139" s="64"/>
      <c r="S139" s="200">
        <v>0</v>
      </c>
      <c r="T139" s="155"/>
      <c r="U139" s="63"/>
      <c r="V139" s="64">
        <v>0</v>
      </c>
      <c r="W139" s="64"/>
      <c r="X139" s="200">
        <v>0</v>
      </c>
      <c r="Y139" s="155"/>
      <c r="Z139" s="63"/>
      <c r="AA139" s="64">
        <v>0</v>
      </c>
      <c r="AB139" s="64"/>
      <c r="AC139" s="200">
        <v>0</v>
      </c>
      <c r="AD139" s="156"/>
      <c r="AE139" s="153"/>
      <c r="AF139" s="140">
        <v>2</v>
      </c>
      <c r="AG139" s="140"/>
      <c r="AH139" s="200">
        <v>5.1000000000000004E-3</v>
      </c>
      <c r="AI139" s="140"/>
      <c r="AJ139" s="153"/>
      <c r="AK139" s="140">
        <v>0</v>
      </c>
      <c r="AL139" s="140"/>
      <c r="AM139" s="200">
        <v>0</v>
      </c>
      <c r="AN139" s="156"/>
      <c r="AO139" s="230">
        <v>5.1000000000000004E-3</v>
      </c>
      <c r="AP139" s="223">
        <v>194</v>
      </c>
      <c r="AQ139" s="223">
        <v>159</v>
      </c>
      <c r="AR139" s="235">
        <v>0.82</v>
      </c>
      <c r="AS139" s="223">
        <v>170</v>
      </c>
      <c r="AT139" s="235">
        <v>0.876</v>
      </c>
      <c r="AU139" s="223">
        <v>150</v>
      </c>
      <c r="AV139" s="232">
        <v>0.77300000000000002</v>
      </c>
      <c r="AW139" s="223">
        <v>124</v>
      </c>
      <c r="AX139" s="223">
        <v>111</v>
      </c>
      <c r="AY139" s="235">
        <v>0.89500000000000002</v>
      </c>
      <c r="AZ139" s="223">
        <v>113</v>
      </c>
      <c r="BA139" s="235">
        <v>0.91100000000000003</v>
      </c>
      <c r="BB139" s="223">
        <v>106</v>
      </c>
      <c r="BC139" s="232">
        <v>0.85499999999999998</v>
      </c>
    </row>
    <row r="140" spans="1:55" x14ac:dyDescent="0.25">
      <c r="A140" s="226">
        <v>1</v>
      </c>
      <c r="B140" s="211" t="s">
        <v>117</v>
      </c>
      <c r="C140" s="211">
        <v>576</v>
      </c>
      <c r="D140" s="211" t="s">
        <v>316</v>
      </c>
      <c r="E140" s="211">
        <v>4839</v>
      </c>
      <c r="F140" s="211">
        <v>4857</v>
      </c>
      <c r="G140" s="211"/>
      <c r="H140" s="220" t="str">
        <f>HYPERLINK("https://map.geo.admin.ch/?zoom=7&amp;E=645700&amp;N=163900&amp;layers=ch.kantone.cadastralwebmap-farbe,ch.swisstopo.amtliches-strassenverzeichnis,ch.bfs.gebaeude_wohnungs_register,KML||https://tinyurl.com/yy7ya4g9/BE/0576_bdg_erw.kml","KML building")</f>
        <v>KML building</v>
      </c>
      <c r="I140" s="154">
        <v>358</v>
      </c>
      <c r="J140" s="243" t="s">
        <v>1101</v>
      </c>
      <c r="K140" s="153">
        <v>7.3982227733002684E-2</v>
      </c>
      <c r="L140" s="64">
        <v>0</v>
      </c>
      <c r="M140" s="64"/>
      <c r="N140" s="200">
        <v>0</v>
      </c>
      <c r="O140" s="155"/>
      <c r="P140" s="63"/>
      <c r="Q140" s="64">
        <v>0</v>
      </c>
      <c r="R140" s="64"/>
      <c r="S140" s="200">
        <v>0</v>
      </c>
      <c r="T140" s="155"/>
      <c r="U140" s="63"/>
      <c r="V140" s="64">
        <v>0</v>
      </c>
      <c r="W140" s="64"/>
      <c r="X140" s="200">
        <v>0</v>
      </c>
      <c r="Y140" s="155"/>
      <c r="Z140" s="63"/>
      <c r="AA140" s="64">
        <v>0</v>
      </c>
      <c r="AB140" s="64"/>
      <c r="AC140" s="200">
        <v>0</v>
      </c>
      <c r="AD140" s="156"/>
      <c r="AE140" s="153"/>
      <c r="AF140" s="140">
        <v>1</v>
      </c>
      <c r="AG140" s="140"/>
      <c r="AH140" s="200">
        <v>2.0000000000000001E-4</v>
      </c>
      <c r="AI140" s="140"/>
      <c r="AJ140" s="153"/>
      <c r="AK140" s="140">
        <v>0</v>
      </c>
      <c r="AL140" s="140"/>
      <c r="AM140" s="200">
        <v>0</v>
      </c>
      <c r="AN140" s="156"/>
      <c r="AO140" s="230">
        <v>2.0000000000000001E-4</v>
      </c>
      <c r="AP140" s="223">
        <v>2512</v>
      </c>
      <c r="AQ140" s="223">
        <v>2100</v>
      </c>
      <c r="AR140" s="235">
        <v>0.83599999999999997</v>
      </c>
      <c r="AS140" s="223">
        <v>2037</v>
      </c>
      <c r="AT140" s="235">
        <v>0.81100000000000005</v>
      </c>
      <c r="AU140" s="223">
        <v>1939</v>
      </c>
      <c r="AV140" s="232">
        <v>0.77200000000000002</v>
      </c>
      <c r="AW140" s="223">
        <v>1654</v>
      </c>
      <c r="AX140" s="223">
        <v>1555</v>
      </c>
      <c r="AY140" s="235">
        <v>0.94</v>
      </c>
      <c r="AZ140" s="223">
        <v>1473</v>
      </c>
      <c r="BA140" s="235">
        <v>0.89100000000000001</v>
      </c>
      <c r="BB140" s="223">
        <v>1446</v>
      </c>
      <c r="BC140" s="232">
        <v>0.874</v>
      </c>
    </row>
    <row r="141" spans="1:55" x14ac:dyDescent="0.25">
      <c r="A141" s="226">
        <v>1</v>
      </c>
      <c r="B141" s="211" t="s">
        <v>117</v>
      </c>
      <c r="C141" s="211">
        <v>577</v>
      </c>
      <c r="D141" s="211" t="s">
        <v>317</v>
      </c>
      <c r="E141" s="211">
        <v>474</v>
      </c>
      <c r="F141" s="211">
        <v>476</v>
      </c>
      <c r="G141" s="211"/>
      <c r="H141" s="220" t="str">
        <f>HYPERLINK("https://map.geo.admin.ch/?zoom=7&amp;E=633300&amp;N=167100&amp;layers=ch.kantone.cadastralwebmap-farbe,ch.swisstopo.amtliches-strassenverzeichnis,ch.bfs.gebaeude_wohnungs_register,KML||https://tinyurl.com/yy7ya4g9/BE/0577_bdg_erw.kml","KML building")</f>
        <v>KML building</v>
      </c>
      <c r="I141" s="154">
        <v>0</v>
      </c>
      <c r="J141" s="243" t="s">
        <v>1102</v>
      </c>
      <c r="K141" s="153">
        <v>0</v>
      </c>
      <c r="L141" s="64">
        <v>0</v>
      </c>
      <c r="M141" s="64"/>
      <c r="N141" s="200">
        <v>0</v>
      </c>
      <c r="O141" s="155"/>
      <c r="P141" s="63"/>
      <c r="Q141" s="64">
        <v>0</v>
      </c>
      <c r="R141" s="64"/>
      <c r="S141" s="200">
        <v>0</v>
      </c>
      <c r="T141" s="155"/>
      <c r="U141" s="63"/>
      <c r="V141" s="64">
        <v>0</v>
      </c>
      <c r="W141" s="64"/>
      <c r="X141" s="200">
        <v>0</v>
      </c>
      <c r="Y141" s="155"/>
      <c r="Z141" s="63"/>
      <c r="AA141" s="64">
        <v>0</v>
      </c>
      <c r="AB141" s="64"/>
      <c r="AC141" s="200">
        <v>0</v>
      </c>
      <c r="AD141" s="156"/>
      <c r="AE141" s="153"/>
      <c r="AF141" s="140">
        <v>4</v>
      </c>
      <c r="AG141" s="140"/>
      <c r="AH141" s="200">
        <v>8.3999999999999995E-3</v>
      </c>
      <c r="AI141" s="140"/>
      <c r="AJ141" s="153"/>
      <c r="AK141" s="140">
        <v>0</v>
      </c>
      <c r="AL141" s="140"/>
      <c r="AM141" s="200">
        <v>0</v>
      </c>
      <c r="AN141" s="156"/>
      <c r="AO141" s="230">
        <v>8.3999999999999995E-3</v>
      </c>
      <c r="AP141" s="223">
        <v>265</v>
      </c>
      <c r="AQ141" s="223">
        <v>251</v>
      </c>
      <c r="AR141" s="235">
        <v>0.94699999999999995</v>
      </c>
      <c r="AS141" s="223">
        <v>185</v>
      </c>
      <c r="AT141" s="235">
        <v>0.69799999999999995</v>
      </c>
      <c r="AU141" s="223">
        <v>183</v>
      </c>
      <c r="AV141" s="232">
        <v>0.69099999999999995</v>
      </c>
      <c r="AW141" s="223">
        <v>168</v>
      </c>
      <c r="AX141" s="223">
        <v>163</v>
      </c>
      <c r="AY141" s="235">
        <v>0.97</v>
      </c>
      <c r="AZ141" s="223">
        <v>135</v>
      </c>
      <c r="BA141" s="235">
        <v>0.80400000000000005</v>
      </c>
      <c r="BB141" s="223">
        <v>134</v>
      </c>
      <c r="BC141" s="232">
        <v>0.79800000000000004</v>
      </c>
    </row>
    <row r="142" spans="1:55" x14ac:dyDescent="0.25">
      <c r="A142" s="226">
        <v>1</v>
      </c>
      <c r="B142" s="211" t="s">
        <v>117</v>
      </c>
      <c r="C142" s="211">
        <v>578</v>
      </c>
      <c r="D142" s="211" t="s">
        <v>318</v>
      </c>
      <c r="E142" s="211">
        <v>402</v>
      </c>
      <c r="F142" s="211">
        <v>404</v>
      </c>
      <c r="G142" s="211"/>
      <c r="H142" s="220" t="str">
        <f>HYPERLINK("https://map.geo.admin.ch/?zoom=7&amp;E=636300&amp;N=164700&amp;layers=ch.kantone.cadastralwebmap-farbe,ch.swisstopo.amtliches-strassenverzeichnis,ch.bfs.gebaeude_wohnungs_register,KML||https://tinyurl.com/yy7ya4g9/BE/0578_bdg_erw.kml","KML building")</f>
        <v>KML building</v>
      </c>
      <c r="I142" s="154">
        <v>0</v>
      </c>
      <c r="J142" s="243" t="s">
        <v>1103</v>
      </c>
      <c r="K142" s="153">
        <v>0</v>
      </c>
      <c r="L142" s="64">
        <v>0</v>
      </c>
      <c r="M142" s="64"/>
      <c r="N142" s="200">
        <v>0</v>
      </c>
      <c r="O142" s="155"/>
      <c r="P142" s="63"/>
      <c r="Q142" s="64">
        <v>0</v>
      </c>
      <c r="R142" s="64"/>
      <c r="S142" s="200">
        <v>0</v>
      </c>
      <c r="T142" s="155"/>
      <c r="U142" s="63"/>
      <c r="V142" s="64">
        <v>0</v>
      </c>
      <c r="W142" s="64"/>
      <c r="X142" s="200">
        <v>0</v>
      </c>
      <c r="Y142" s="155"/>
      <c r="Z142" s="63"/>
      <c r="AA142" s="64">
        <v>0</v>
      </c>
      <c r="AB142" s="64"/>
      <c r="AC142" s="200">
        <v>0</v>
      </c>
      <c r="AD142" s="156"/>
      <c r="AE142" s="153"/>
      <c r="AF142" s="140">
        <v>0</v>
      </c>
      <c r="AG142" s="140"/>
      <c r="AH142" s="200">
        <v>0</v>
      </c>
      <c r="AI142" s="140"/>
      <c r="AJ142" s="153"/>
      <c r="AK142" s="140">
        <v>0</v>
      </c>
      <c r="AL142" s="140"/>
      <c r="AM142" s="200">
        <v>0</v>
      </c>
      <c r="AN142" s="156"/>
      <c r="AO142" s="230">
        <v>0</v>
      </c>
      <c r="AP142" s="223">
        <v>241</v>
      </c>
      <c r="AQ142" s="223">
        <v>210</v>
      </c>
      <c r="AR142" s="235">
        <v>0.871</v>
      </c>
      <c r="AS142" s="223">
        <v>196</v>
      </c>
      <c r="AT142" s="235">
        <v>0.81299999999999994</v>
      </c>
      <c r="AU142" s="223">
        <v>195</v>
      </c>
      <c r="AV142" s="232">
        <v>0.80900000000000005</v>
      </c>
      <c r="AW142" s="223">
        <v>149</v>
      </c>
      <c r="AX142" s="223">
        <v>137</v>
      </c>
      <c r="AY142" s="235">
        <v>0.91900000000000004</v>
      </c>
      <c r="AZ142" s="223">
        <v>134</v>
      </c>
      <c r="BA142" s="235">
        <v>0.89900000000000002</v>
      </c>
      <c r="BB142" s="223">
        <v>133</v>
      </c>
      <c r="BC142" s="232">
        <v>0.89300000000000002</v>
      </c>
    </row>
    <row r="143" spans="1:55" x14ac:dyDescent="0.25">
      <c r="A143" s="226">
        <v>1</v>
      </c>
      <c r="B143" s="211" t="s">
        <v>117</v>
      </c>
      <c r="C143" s="211">
        <v>579</v>
      </c>
      <c r="D143" s="211" t="s">
        <v>319</v>
      </c>
      <c r="E143" s="211">
        <v>1196</v>
      </c>
      <c r="F143" s="211">
        <v>1203</v>
      </c>
      <c r="G143" s="211"/>
      <c r="H143" s="220" t="str">
        <f>HYPERLINK("https://map.geo.admin.ch/?zoom=7&amp;E=632500&amp;N=175100&amp;layers=ch.kantone.cadastralwebmap-farbe,ch.swisstopo.amtliches-strassenverzeichnis,ch.bfs.gebaeude_wohnungs_register,KML||https://tinyurl.com/yy7ya4g9/BE/0579_bdg_erw.kml","KML building")</f>
        <v>KML building</v>
      </c>
      <c r="I143" s="154">
        <v>0</v>
      </c>
      <c r="J143" s="243" t="s">
        <v>1104</v>
      </c>
      <c r="K143" s="153">
        <v>0</v>
      </c>
      <c r="L143" s="64">
        <v>0</v>
      </c>
      <c r="M143" s="64"/>
      <c r="N143" s="200">
        <v>0</v>
      </c>
      <c r="O143" s="155"/>
      <c r="P143" s="63"/>
      <c r="Q143" s="64">
        <v>0</v>
      </c>
      <c r="R143" s="64"/>
      <c r="S143" s="200">
        <v>0</v>
      </c>
      <c r="T143" s="155"/>
      <c r="U143" s="63"/>
      <c r="V143" s="64">
        <v>0</v>
      </c>
      <c r="W143" s="64"/>
      <c r="X143" s="200">
        <v>0</v>
      </c>
      <c r="Y143" s="155"/>
      <c r="Z143" s="63"/>
      <c r="AA143" s="64">
        <v>0</v>
      </c>
      <c r="AB143" s="64"/>
      <c r="AC143" s="200">
        <v>0</v>
      </c>
      <c r="AD143" s="156"/>
      <c r="AE143" s="153"/>
      <c r="AF143" s="140">
        <v>1</v>
      </c>
      <c r="AG143" s="140"/>
      <c r="AH143" s="200">
        <v>8.0000000000000004E-4</v>
      </c>
      <c r="AI143" s="140"/>
      <c r="AJ143" s="153"/>
      <c r="AK143" s="140">
        <v>0</v>
      </c>
      <c r="AL143" s="140"/>
      <c r="AM143" s="200">
        <v>0</v>
      </c>
      <c r="AN143" s="156"/>
      <c r="AO143" s="230">
        <v>8.0000000000000004E-4</v>
      </c>
      <c r="AP143" s="223">
        <v>836</v>
      </c>
      <c r="AQ143" s="223">
        <v>733</v>
      </c>
      <c r="AR143" s="235">
        <v>0.877</v>
      </c>
      <c r="AS143" s="223">
        <v>724</v>
      </c>
      <c r="AT143" s="235">
        <v>0.86599999999999999</v>
      </c>
      <c r="AU143" s="223">
        <v>701</v>
      </c>
      <c r="AV143" s="232">
        <v>0.83899999999999997</v>
      </c>
      <c r="AW143" s="223">
        <v>616</v>
      </c>
      <c r="AX143" s="223">
        <v>582</v>
      </c>
      <c r="AY143" s="235">
        <v>0.94499999999999995</v>
      </c>
      <c r="AZ143" s="223">
        <v>584</v>
      </c>
      <c r="BA143" s="235">
        <v>0.94799999999999995</v>
      </c>
      <c r="BB143" s="223">
        <v>573</v>
      </c>
      <c r="BC143" s="232">
        <v>0.93</v>
      </c>
    </row>
    <row r="144" spans="1:55" x14ac:dyDescent="0.25">
      <c r="A144" s="226">
        <v>1</v>
      </c>
      <c r="B144" s="211" t="s">
        <v>117</v>
      </c>
      <c r="C144" s="211">
        <v>580</v>
      </c>
      <c r="D144" s="211" t="s">
        <v>320</v>
      </c>
      <c r="E144" s="211">
        <v>669</v>
      </c>
      <c r="F144" s="211">
        <v>671</v>
      </c>
      <c r="G144" s="211"/>
      <c r="H144" s="220" t="str">
        <f>HYPERLINK("https://map.geo.admin.ch/?zoom=7&amp;E=648600&amp;N=178300&amp;layers=ch.kantone.cadastralwebmap-farbe,ch.swisstopo.amtliches-strassenverzeichnis,ch.bfs.gebaeude_wohnungs_register,KML||https://tinyurl.com/yy7ya4g9/BE/0580_bdg_erw.kml","KML building")</f>
        <v>KML building</v>
      </c>
      <c r="I144" s="154">
        <v>0</v>
      </c>
      <c r="J144" s="243" t="s">
        <v>1105</v>
      </c>
      <c r="K144" s="153">
        <v>0</v>
      </c>
      <c r="L144" s="64">
        <v>0</v>
      </c>
      <c r="M144" s="64"/>
      <c r="N144" s="200">
        <v>0</v>
      </c>
      <c r="O144" s="155"/>
      <c r="P144" s="63"/>
      <c r="Q144" s="64">
        <v>0</v>
      </c>
      <c r="R144" s="64"/>
      <c r="S144" s="200">
        <v>0</v>
      </c>
      <c r="T144" s="155"/>
      <c r="U144" s="63"/>
      <c r="V144" s="64">
        <v>0</v>
      </c>
      <c r="W144" s="64"/>
      <c r="X144" s="200">
        <v>0</v>
      </c>
      <c r="Y144" s="155"/>
      <c r="Z144" s="63"/>
      <c r="AA144" s="64">
        <v>0</v>
      </c>
      <c r="AB144" s="64"/>
      <c r="AC144" s="200">
        <v>0</v>
      </c>
      <c r="AD144" s="156"/>
      <c r="AE144" s="153"/>
      <c r="AF144" s="140">
        <v>0</v>
      </c>
      <c r="AG144" s="140"/>
      <c r="AH144" s="200">
        <v>0</v>
      </c>
      <c r="AI144" s="140"/>
      <c r="AJ144" s="153"/>
      <c r="AK144" s="140">
        <v>0</v>
      </c>
      <c r="AL144" s="140"/>
      <c r="AM144" s="200">
        <v>0</v>
      </c>
      <c r="AN144" s="156"/>
      <c r="AO144" s="230">
        <v>0</v>
      </c>
      <c r="AP144" s="223">
        <v>397</v>
      </c>
      <c r="AQ144" s="223">
        <v>386</v>
      </c>
      <c r="AR144" s="235">
        <v>0.97199999999999998</v>
      </c>
      <c r="AS144" s="223">
        <v>336</v>
      </c>
      <c r="AT144" s="235">
        <v>0.84599999999999997</v>
      </c>
      <c r="AU144" s="223">
        <v>325</v>
      </c>
      <c r="AV144" s="232">
        <v>0.81899999999999995</v>
      </c>
      <c r="AW144" s="223">
        <v>243</v>
      </c>
      <c r="AX144" s="223">
        <v>232</v>
      </c>
      <c r="AY144" s="235">
        <v>0.95499999999999996</v>
      </c>
      <c r="AZ144" s="223">
        <v>226</v>
      </c>
      <c r="BA144" s="235">
        <v>0.93</v>
      </c>
      <c r="BB144" s="223">
        <v>215</v>
      </c>
      <c r="BC144" s="232">
        <v>0.88500000000000001</v>
      </c>
    </row>
    <row r="145" spans="1:55" x14ac:dyDescent="0.25">
      <c r="A145" s="226">
        <v>1</v>
      </c>
      <c r="B145" s="211" t="s">
        <v>117</v>
      </c>
      <c r="C145" s="211">
        <v>581</v>
      </c>
      <c r="D145" s="211" t="s">
        <v>321</v>
      </c>
      <c r="E145" s="211">
        <v>1952</v>
      </c>
      <c r="F145" s="211">
        <v>1978</v>
      </c>
      <c r="G145" s="211"/>
      <c r="H145" s="220" t="str">
        <f>HYPERLINK("https://map.geo.admin.ch/?zoom=7&amp;E=632000&amp;N=170300&amp;layers=ch.kantone.cadastralwebmap-farbe,ch.swisstopo.amtliches-strassenverzeichnis,ch.bfs.gebaeude_wohnungs_register,KML||https://tinyurl.com/yy7ya4g9/BE/0581_bdg_erw.kml","KML building")</f>
        <v>KML building</v>
      </c>
      <c r="I145" s="154">
        <v>0</v>
      </c>
      <c r="J145" s="243" t="s">
        <v>1106</v>
      </c>
      <c r="K145" s="153">
        <v>0</v>
      </c>
      <c r="L145" s="64">
        <v>0</v>
      </c>
      <c r="M145" s="64"/>
      <c r="N145" s="200">
        <v>0</v>
      </c>
      <c r="O145" s="155"/>
      <c r="P145" s="63"/>
      <c r="Q145" s="64">
        <v>0</v>
      </c>
      <c r="R145" s="64"/>
      <c r="S145" s="200">
        <v>0</v>
      </c>
      <c r="T145" s="155"/>
      <c r="U145" s="63"/>
      <c r="V145" s="64">
        <v>0</v>
      </c>
      <c r="W145" s="64"/>
      <c r="X145" s="200">
        <v>0</v>
      </c>
      <c r="Y145" s="155"/>
      <c r="Z145" s="63"/>
      <c r="AA145" s="64">
        <v>0</v>
      </c>
      <c r="AB145" s="64"/>
      <c r="AC145" s="200">
        <v>0</v>
      </c>
      <c r="AD145" s="156"/>
      <c r="AE145" s="153"/>
      <c r="AF145" s="140">
        <v>3</v>
      </c>
      <c r="AG145" s="140"/>
      <c r="AH145" s="200">
        <v>1.5E-3</v>
      </c>
      <c r="AI145" s="140"/>
      <c r="AJ145" s="153"/>
      <c r="AK145" s="140">
        <v>2</v>
      </c>
      <c r="AL145" s="140"/>
      <c r="AM145" s="200">
        <v>1E-3</v>
      </c>
      <c r="AN145" s="156"/>
      <c r="AO145" s="230">
        <v>2.5000000000000001E-3</v>
      </c>
      <c r="AP145" s="223">
        <v>740</v>
      </c>
      <c r="AQ145" s="223">
        <v>578</v>
      </c>
      <c r="AR145" s="235">
        <v>0.78100000000000003</v>
      </c>
      <c r="AS145" s="223">
        <v>553</v>
      </c>
      <c r="AT145" s="235">
        <v>0.747</v>
      </c>
      <c r="AU145" s="223">
        <v>538</v>
      </c>
      <c r="AV145" s="232">
        <v>0.72699999999999998</v>
      </c>
      <c r="AW145" s="223">
        <v>471</v>
      </c>
      <c r="AX145" s="223">
        <v>388</v>
      </c>
      <c r="AY145" s="235">
        <v>0.82399999999999995</v>
      </c>
      <c r="AZ145" s="223">
        <v>378</v>
      </c>
      <c r="BA145" s="235">
        <v>0.80300000000000005</v>
      </c>
      <c r="BB145" s="223">
        <v>363</v>
      </c>
      <c r="BC145" s="232">
        <v>0.77100000000000002</v>
      </c>
    </row>
    <row r="146" spans="1:55" x14ac:dyDescent="0.25">
      <c r="A146" s="226">
        <v>1</v>
      </c>
      <c r="B146" s="211" t="s">
        <v>117</v>
      </c>
      <c r="C146" s="211">
        <v>582</v>
      </c>
      <c r="D146" s="211" t="s">
        <v>322</v>
      </c>
      <c r="E146" s="211">
        <v>856</v>
      </c>
      <c r="F146" s="211">
        <v>856</v>
      </c>
      <c r="G146" s="211"/>
      <c r="H146" s="220" t="str">
        <f>HYPERLINK("https://map.geo.admin.ch/?zoom=7&amp;E=640200&amp;N=173300&amp;layers=ch.kantone.cadastralwebmap-farbe,ch.swisstopo.amtliches-strassenverzeichnis,ch.bfs.gebaeude_wohnungs_register,KML||https://tinyurl.com/yy7ya4g9/BE/0582_bdg_erw.kml","KML building")</f>
        <v>KML building</v>
      </c>
      <c r="I146" s="154">
        <v>0</v>
      </c>
      <c r="J146" s="243" t="s">
        <v>1107</v>
      </c>
      <c r="K146" s="153">
        <v>0</v>
      </c>
      <c r="L146" s="64">
        <v>0</v>
      </c>
      <c r="M146" s="64"/>
      <c r="N146" s="200">
        <v>0</v>
      </c>
      <c r="O146" s="155"/>
      <c r="P146" s="63"/>
      <c r="Q146" s="64">
        <v>0</v>
      </c>
      <c r="R146" s="64"/>
      <c r="S146" s="200">
        <v>0</v>
      </c>
      <c r="T146" s="155"/>
      <c r="U146" s="63"/>
      <c r="V146" s="64">
        <v>0</v>
      </c>
      <c r="W146" s="64"/>
      <c r="X146" s="200">
        <v>0</v>
      </c>
      <c r="Y146" s="155"/>
      <c r="Z146" s="63"/>
      <c r="AA146" s="64">
        <v>0</v>
      </c>
      <c r="AB146" s="64"/>
      <c r="AC146" s="200">
        <v>0</v>
      </c>
      <c r="AD146" s="156"/>
      <c r="AE146" s="153"/>
      <c r="AF146" s="140">
        <v>0</v>
      </c>
      <c r="AG146" s="140"/>
      <c r="AH146" s="200">
        <v>0</v>
      </c>
      <c r="AI146" s="140"/>
      <c r="AJ146" s="153"/>
      <c r="AK146" s="140">
        <v>0</v>
      </c>
      <c r="AL146" s="140"/>
      <c r="AM146" s="200">
        <v>0</v>
      </c>
      <c r="AN146" s="156"/>
      <c r="AO146" s="230">
        <v>0</v>
      </c>
      <c r="AP146" s="223">
        <v>546</v>
      </c>
      <c r="AQ146" s="223">
        <v>436</v>
      </c>
      <c r="AR146" s="235">
        <v>0.79900000000000004</v>
      </c>
      <c r="AS146" s="223">
        <v>439</v>
      </c>
      <c r="AT146" s="235">
        <v>0.80400000000000005</v>
      </c>
      <c r="AU146" s="223">
        <v>410</v>
      </c>
      <c r="AV146" s="232">
        <v>0.751</v>
      </c>
      <c r="AW146" s="223">
        <v>287</v>
      </c>
      <c r="AX146" s="223">
        <v>268</v>
      </c>
      <c r="AY146" s="235">
        <v>0.93400000000000005</v>
      </c>
      <c r="AZ146" s="223">
        <v>258</v>
      </c>
      <c r="BA146" s="235">
        <v>0.89900000000000002</v>
      </c>
      <c r="BB146" s="223">
        <v>255</v>
      </c>
      <c r="BC146" s="232">
        <v>0.88900000000000001</v>
      </c>
    </row>
    <row r="147" spans="1:55" x14ac:dyDescent="0.25">
      <c r="A147" s="226">
        <v>1</v>
      </c>
      <c r="B147" s="211" t="s">
        <v>117</v>
      </c>
      <c r="C147" s="211">
        <v>584</v>
      </c>
      <c r="D147" s="211" t="s">
        <v>323</v>
      </c>
      <c r="E147" s="211">
        <v>3694</v>
      </c>
      <c r="F147" s="211">
        <v>3694</v>
      </c>
      <c r="G147" s="211"/>
      <c r="H147" s="220" t="str">
        <f>HYPERLINK("https://map.geo.admin.ch/?zoom=7&amp;E=636500&amp;N=161200&amp;layers=ch.kantone.cadastralwebmap-farbe,ch.swisstopo.amtliches-strassenverzeichnis,ch.bfs.gebaeude_wohnungs_register,KML||https://tinyurl.com/yy7ya4g9/BE/0584_bdg_erw.kml","KML building")</f>
        <v>KML building</v>
      </c>
      <c r="I147" s="154">
        <v>3</v>
      </c>
      <c r="J147" s="243" t="s">
        <v>1108</v>
      </c>
      <c r="K147" s="153">
        <v>8.1212777476989716E-4</v>
      </c>
      <c r="L147" s="64">
        <v>0</v>
      </c>
      <c r="M147" s="64"/>
      <c r="N147" s="200">
        <v>0</v>
      </c>
      <c r="O147" s="155"/>
      <c r="P147" s="63"/>
      <c r="Q147" s="64">
        <v>0</v>
      </c>
      <c r="R147" s="64"/>
      <c r="S147" s="200">
        <v>0</v>
      </c>
      <c r="T147" s="155"/>
      <c r="U147" s="63"/>
      <c r="V147" s="64">
        <v>0</v>
      </c>
      <c r="W147" s="64"/>
      <c r="X147" s="200">
        <v>0</v>
      </c>
      <c r="Y147" s="155"/>
      <c r="Z147" s="63"/>
      <c r="AA147" s="64">
        <v>0</v>
      </c>
      <c r="AB147" s="64"/>
      <c r="AC147" s="200">
        <v>0</v>
      </c>
      <c r="AD147" s="156"/>
      <c r="AE147" s="153"/>
      <c r="AF147" s="140">
        <v>3</v>
      </c>
      <c r="AG147" s="140"/>
      <c r="AH147" s="200">
        <v>8.0000000000000004E-4</v>
      </c>
      <c r="AI147" s="140"/>
      <c r="AJ147" s="153"/>
      <c r="AK147" s="140">
        <v>0</v>
      </c>
      <c r="AL147" s="140"/>
      <c r="AM147" s="200">
        <v>0</v>
      </c>
      <c r="AN147" s="156"/>
      <c r="AO147" s="230">
        <v>8.0000000000000004E-4</v>
      </c>
      <c r="AP147" s="223">
        <v>2107</v>
      </c>
      <c r="AQ147" s="223">
        <v>1830</v>
      </c>
      <c r="AR147" s="235">
        <v>0.86899999999999999</v>
      </c>
      <c r="AS147" s="223">
        <v>1693</v>
      </c>
      <c r="AT147" s="235">
        <v>0.80400000000000005</v>
      </c>
      <c r="AU147" s="223">
        <v>1676</v>
      </c>
      <c r="AV147" s="232">
        <v>0.79500000000000004</v>
      </c>
      <c r="AW147" s="223">
        <v>1209</v>
      </c>
      <c r="AX147" s="223">
        <v>1122</v>
      </c>
      <c r="AY147" s="235">
        <v>0.92800000000000005</v>
      </c>
      <c r="AZ147" s="223">
        <v>1088</v>
      </c>
      <c r="BA147" s="235">
        <v>0.9</v>
      </c>
      <c r="BB147" s="223">
        <v>1076</v>
      </c>
      <c r="BC147" s="232">
        <v>0.89</v>
      </c>
    </row>
    <row r="148" spans="1:55" x14ac:dyDescent="0.25">
      <c r="A148" s="226">
        <v>1</v>
      </c>
      <c r="B148" s="211" t="s">
        <v>117</v>
      </c>
      <c r="C148" s="211">
        <v>585</v>
      </c>
      <c r="D148" s="211" t="s">
        <v>324</v>
      </c>
      <c r="E148" s="211">
        <v>935</v>
      </c>
      <c r="F148" s="211">
        <v>948</v>
      </c>
      <c r="G148" s="211"/>
      <c r="H148" s="220" t="str">
        <f>HYPERLINK("https://map.geo.admin.ch/?zoom=7&amp;E=625600&amp;N=167000&amp;layers=ch.kantone.cadastralwebmap-farbe,ch.swisstopo.amtliches-strassenverzeichnis,ch.bfs.gebaeude_wohnungs_register,KML||https://tinyurl.com/yy7ya4g9/BE/0585_bdg_erw.kml","KML building")</f>
        <v>KML building</v>
      </c>
      <c r="I148" s="154">
        <v>0</v>
      </c>
      <c r="J148" s="243" t="s">
        <v>1109</v>
      </c>
      <c r="K148" s="153">
        <v>0</v>
      </c>
      <c r="L148" s="64">
        <v>0</v>
      </c>
      <c r="M148" s="64"/>
      <c r="N148" s="200">
        <v>0</v>
      </c>
      <c r="O148" s="155"/>
      <c r="P148" s="63"/>
      <c r="Q148" s="64">
        <v>0</v>
      </c>
      <c r="R148" s="64"/>
      <c r="S148" s="200">
        <v>0</v>
      </c>
      <c r="T148" s="155"/>
      <c r="U148" s="63"/>
      <c r="V148" s="64">
        <v>0</v>
      </c>
      <c r="W148" s="64"/>
      <c r="X148" s="200">
        <v>0</v>
      </c>
      <c r="Y148" s="155"/>
      <c r="Z148" s="63"/>
      <c r="AA148" s="64">
        <v>0</v>
      </c>
      <c r="AB148" s="64"/>
      <c r="AC148" s="200">
        <v>0</v>
      </c>
      <c r="AD148" s="156"/>
      <c r="AE148" s="153"/>
      <c r="AF148" s="140">
        <v>1</v>
      </c>
      <c r="AG148" s="140"/>
      <c r="AH148" s="200">
        <v>1.1000000000000001E-3</v>
      </c>
      <c r="AI148" s="140"/>
      <c r="AJ148" s="153"/>
      <c r="AK148" s="140">
        <v>0</v>
      </c>
      <c r="AL148" s="140"/>
      <c r="AM148" s="200">
        <v>0</v>
      </c>
      <c r="AN148" s="156"/>
      <c r="AO148" s="230">
        <v>1.1000000000000001E-3</v>
      </c>
      <c r="AP148" s="223">
        <v>419</v>
      </c>
      <c r="AQ148" s="223">
        <v>341</v>
      </c>
      <c r="AR148" s="235">
        <v>0.81399999999999995</v>
      </c>
      <c r="AS148" s="223">
        <v>337</v>
      </c>
      <c r="AT148" s="235">
        <v>0.80400000000000005</v>
      </c>
      <c r="AU148" s="223">
        <v>311</v>
      </c>
      <c r="AV148" s="232">
        <v>0.74199999999999999</v>
      </c>
      <c r="AW148" s="223">
        <v>234</v>
      </c>
      <c r="AX148" s="223">
        <v>222</v>
      </c>
      <c r="AY148" s="235">
        <v>0.94899999999999995</v>
      </c>
      <c r="AZ148" s="223">
        <v>211</v>
      </c>
      <c r="BA148" s="235">
        <v>0.90200000000000002</v>
      </c>
      <c r="BB148" s="223">
        <v>209</v>
      </c>
      <c r="BC148" s="232">
        <v>0.89300000000000002</v>
      </c>
    </row>
    <row r="149" spans="1:55" x14ac:dyDescent="0.25">
      <c r="A149" s="226">
        <v>1</v>
      </c>
      <c r="B149" s="211" t="s">
        <v>117</v>
      </c>
      <c r="C149" s="211">
        <v>586</v>
      </c>
      <c r="D149" s="211" t="s">
        <v>325</v>
      </c>
      <c r="E149" s="211">
        <v>420</v>
      </c>
      <c r="F149" s="211">
        <v>420</v>
      </c>
      <c r="G149" s="211"/>
      <c r="H149" s="220" t="str">
        <f>HYPERLINK("https://map.geo.admin.ch/?zoom=7&amp;E=639400&amp;N=165300&amp;layers=ch.kantone.cadastralwebmap-farbe,ch.swisstopo.amtliches-strassenverzeichnis,ch.bfs.gebaeude_wohnungs_register,KML||https://tinyurl.com/yy7ya4g9/BE/0586_bdg_erw.kml","KML building")</f>
        <v>KML building</v>
      </c>
      <c r="I149" s="154">
        <v>0</v>
      </c>
      <c r="J149" s="243" t="s">
        <v>1110</v>
      </c>
      <c r="K149" s="153">
        <v>0</v>
      </c>
      <c r="L149" s="64">
        <v>0</v>
      </c>
      <c r="M149" s="64"/>
      <c r="N149" s="200">
        <v>0</v>
      </c>
      <c r="O149" s="155"/>
      <c r="P149" s="63"/>
      <c r="Q149" s="64">
        <v>0</v>
      </c>
      <c r="R149" s="64"/>
      <c r="S149" s="200">
        <v>0</v>
      </c>
      <c r="T149" s="155"/>
      <c r="U149" s="63"/>
      <c r="V149" s="64">
        <v>0</v>
      </c>
      <c r="W149" s="64"/>
      <c r="X149" s="200">
        <v>0</v>
      </c>
      <c r="Y149" s="155"/>
      <c r="Z149" s="63"/>
      <c r="AA149" s="64">
        <v>0</v>
      </c>
      <c r="AB149" s="64"/>
      <c r="AC149" s="200">
        <v>0</v>
      </c>
      <c r="AD149" s="156"/>
      <c r="AE149" s="153"/>
      <c r="AF149" s="140">
        <v>1</v>
      </c>
      <c r="AG149" s="140"/>
      <c r="AH149" s="200">
        <v>2.3999999999999998E-3</v>
      </c>
      <c r="AI149" s="140"/>
      <c r="AJ149" s="153"/>
      <c r="AK149" s="140">
        <v>0</v>
      </c>
      <c r="AL149" s="140"/>
      <c r="AM149" s="200">
        <v>0</v>
      </c>
      <c r="AN149" s="156"/>
      <c r="AO149" s="230">
        <v>2.3999999999999998E-3</v>
      </c>
      <c r="AP149" s="223">
        <v>278</v>
      </c>
      <c r="AQ149" s="223">
        <v>229</v>
      </c>
      <c r="AR149" s="235">
        <v>0.82399999999999995</v>
      </c>
      <c r="AS149" s="223">
        <v>235</v>
      </c>
      <c r="AT149" s="235">
        <v>0.84499999999999997</v>
      </c>
      <c r="AU149" s="223">
        <v>222</v>
      </c>
      <c r="AV149" s="232">
        <v>0.79900000000000004</v>
      </c>
      <c r="AW149" s="223">
        <v>153</v>
      </c>
      <c r="AX149" s="223">
        <v>141</v>
      </c>
      <c r="AY149" s="235">
        <v>0.92200000000000004</v>
      </c>
      <c r="AZ149" s="223">
        <v>142</v>
      </c>
      <c r="BA149" s="235">
        <v>0.92800000000000005</v>
      </c>
      <c r="BB149" s="223">
        <v>137</v>
      </c>
      <c r="BC149" s="232">
        <v>0.89500000000000002</v>
      </c>
    </row>
    <row r="150" spans="1:55" x14ac:dyDescent="0.25">
      <c r="A150" s="226">
        <v>1</v>
      </c>
      <c r="B150" s="211" t="s">
        <v>117</v>
      </c>
      <c r="C150" s="211">
        <v>587</v>
      </c>
      <c r="D150" s="211" t="s">
        <v>326</v>
      </c>
      <c r="E150" s="211">
        <v>1603</v>
      </c>
      <c r="F150" s="211">
        <v>1608</v>
      </c>
      <c r="G150" s="211"/>
      <c r="H150" s="220" t="str">
        <f>HYPERLINK("https://map.geo.admin.ch/?zoom=7&amp;E=632800&amp;N=169700&amp;layers=ch.kantone.cadastralwebmap-farbe,ch.swisstopo.amtliches-strassenverzeichnis,ch.bfs.gebaeude_wohnungs_register,KML||https://tinyurl.com/yy7ya4g9/BE/0587_bdg_erw.kml","KML building")</f>
        <v>KML building</v>
      </c>
      <c r="I150" s="154">
        <v>4</v>
      </c>
      <c r="J150" s="243" t="s">
        <v>1111</v>
      </c>
      <c r="K150" s="153">
        <v>2.495321272613849E-3</v>
      </c>
      <c r="L150" s="64">
        <v>0</v>
      </c>
      <c r="M150" s="64"/>
      <c r="N150" s="200">
        <v>0</v>
      </c>
      <c r="O150" s="155"/>
      <c r="P150" s="63"/>
      <c r="Q150" s="64">
        <v>0</v>
      </c>
      <c r="R150" s="64"/>
      <c r="S150" s="200">
        <v>0</v>
      </c>
      <c r="T150" s="155"/>
      <c r="U150" s="63"/>
      <c r="V150" s="64">
        <v>0</v>
      </c>
      <c r="W150" s="64"/>
      <c r="X150" s="200">
        <v>0</v>
      </c>
      <c r="Y150" s="155"/>
      <c r="Z150" s="63"/>
      <c r="AA150" s="64">
        <v>0</v>
      </c>
      <c r="AB150" s="64"/>
      <c r="AC150" s="200">
        <v>0</v>
      </c>
      <c r="AD150" s="156"/>
      <c r="AE150" s="153"/>
      <c r="AF150" s="140">
        <v>5</v>
      </c>
      <c r="AG150" s="140"/>
      <c r="AH150" s="200">
        <v>3.0999999999999999E-3</v>
      </c>
      <c r="AI150" s="140"/>
      <c r="AJ150" s="153"/>
      <c r="AK150" s="140">
        <v>2</v>
      </c>
      <c r="AL150" s="140"/>
      <c r="AM150" s="200">
        <v>1.1999999999999999E-3</v>
      </c>
      <c r="AN150" s="156"/>
      <c r="AO150" s="230">
        <v>4.3E-3</v>
      </c>
      <c r="AP150" s="223">
        <v>615</v>
      </c>
      <c r="AQ150" s="223">
        <v>507</v>
      </c>
      <c r="AR150" s="235">
        <v>0.82399999999999995</v>
      </c>
      <c r="AS150" s="223">
        <v>468</v>
      </c>
      <c r="AT150" s="235">
        <v>0.76100000000000001</v>
      </c>
      <c r="AU150" s="223">
        <v>421</v>
      </c>
      <c r="AV150" s="232">
        <v>0.68500000000000005</v>
      </c>
      <c r="AW150" s="223">
        <v>337</v>
      </c>
      <c r="AX150" s="223">
        <v>327</v>
      </c>
      <c r="AY150" s="235">
        <v>0.97</v>
      </c>
      <c r="AZ150" s="223">
        <v>287</v>
      </c>
      <c r="BA150" s="235">
        <v>0.85199999999999998</v>
      </c>
      <c r="BB150" s="223">
        <v>279</v>
      </c>
      <c r="BC150" s="232">
        <v>0.82799999999999996</v>
      </c>
    </row>
    <row r="151" spans="1:55" x14ac:dyDescent="0.25">
      <c r="A151" s="226">
        <v>1</v>
      </c>
      <c r="B151" s="211" t="s">
        <v>117</v>
      </c>
      <c r="C151" s="211">
        <v>588</v>
      </c>
      <c r="D151" s="211" t="s">
        <v>327</v>
      </c>
      <c r="E151" s="211">
        <v>455</v>
      </c>
      <c r="F151" s="211">
        <v>458</v>
      </c>
      <c r="G151" s="211"/>
      <c r="H151" s="220" t="str">
        <f>HYPERLINK("https://map.geo.admin.ch/?zoom=7&amp;E=637600&amp;N=174200&amp;layers=ch.kantone.cadastralwebmap-farbe,ch.swisstopo.amtliches-strassenverzeichnis,ch.bfs.gebaeude_wohnungs_register,KML||https://tinyurl.com/yy7ya4g9/BE/0588_bdg_erw.kml","KML building")</f>
        <v>KML building</v>
      </c>
      <c r="I151" s="154">
        <v>0</v>
      </c>
      <c r="J151" s="243" t="s">
        <v>1112</v>
      </c>
      <c r="K151" s="153">
        <v>0</v>
      </c>
      <c r="L151" s="64">
        <v>0</v>
      </c>
      <c r="M151" s="64"/>
      <c r="N151" s="200">
        <v>0</v>
      </c>
      <c r="O151" s="155"/>
      <c r="P151" s="63"/>
      <c r="Q151" s="64">
        <v>0</v>
      </c>
      <c r="R151" s="64"/>
      <c r="S151" s="200">
        <v>0</v>
      </c>
      <c r="T151" s="155"/>
      <c r="U151" s="63"/>
      <c r="V151" s="64">
        <v>0</v>
      </c>
      <c r="W151" s="64"/>
      <c r="X151" s="200">
        <v>0</v>
      </c>
      <c r="Y151" s="155"/>
      <c r="Z151" s="63"/>
      <c r="AA151" s="64">
        <v>0</v>
      </c>
      <c r="AB151" s="64"/>
      <c r="AC151" s="200">
        <v>0</v>
      </c>
      <c r="AD151" s="156"/>
      <c r="AE151" s="153"/>
      <c r="AF151" s="140">
        <v>0</v>
      </c>
      <c r="AG151" s="140"/>
      <c r="AH151" s="200">
        <v>0</v>
      </c>
      <c r="AI151" s="140"/>
      <c r="AJ151" s="153"/>
      <c r="AK151" s="140">
        <v>0</v>
      </c>
      <c r="AL151" s="140"/>
      <c r="AM151" s="200">
        <v>0</v>
      </c>
      <c r="AN151" s="156"/>
      <c r="AO151" s="230">
        <v>0</v>
      </c>
      <c r="AP151" s="223">
        <v>228</v>
      </c>
      <c r="AQ151" s="223">
        <v>187</v>
      </c>
      <c r="AR151" s="235">
        <v>0.82</v>
      </c>
      <c r="AS151" s="223">
        <v>200</v>
      </c>
      <c r="AT151" s="235">
        <v>0.877</v>
      </c>
      <c r="AU151" s="223">
        <v>180</v>
      </c>
      <c r="AV151" s="232">
        <v>0.78900000000000003</v>
      </c>
      <c r="AW151" s="223">
        <v>108</v>
      </c>
      <c r="AX151" s="223">
        <v>95</v>
      </c>
      <c r="AY151" s="235">
        <v>0.88</v>
      </c>
      <c r="AZ151" s="223">
        <v>100</v>
      </c>
      <c r="BA151" s="235">
        <v>0.92600000000000005</v>
      </c>
      <c r="BB151" s="223">
        <v>89</v>
      </c>
      <c r="BC151" s="232">
        <v>0.82399999999999995</v>
      </c>
    </row>
    <row r="152" spans="1:55" x14ac:dyDescent="0.25">
      <c r="A152" s="226">
        <v>1</v>
      </c>
      <c r="B152" s="211" t="s">
        <v>117</v>
      </c>
      <c r="C152" s="211">
        <v>589</v>
      </c>
      <c r="D152" s="211" t="s">
        <v>328</v>
      </c>
      <c r="E152" s="211">
        <v>673</v>
      </c>
      <c r="F152" s="211">
        <v>674</v>
      </c>
      <c r="G152" s="211"/>
      <c r="H152" s="220" t="str">
        <f>HYPERLINK("https://map.geo.admin.ch/?zoom=7&amp;E=640100&amp;N=176400&amp;layers=ch.kantone.cadastralwebmap-farbe,ch.swisstopo.amtliches-strassenverzeichnis,ch.bfs.gebaeude_wohnungs_register,KML||https://tinyurl.com/yy7ya4g9/BE/0589_bdg_erw.kml","KML building")</f>
        <v>KML building</v>
      </c>
      <c r="I152" s="154">
        <v>31</v>
      </c>
      <c r="J152" s="243" t="s">
        <v>1113</v>
      </c>
      <c r="K152" s="153">
        <v>4.6062407132243688E-2</v>
      </c>
      <c r="L152" s="64">
        <v>0</v>
      </c>
      <c r="M152" s="64"/>
      <c r="N152" s="200">
        <v>0</v>
      </c>
      <c r="O152" s="155"/>
      <c r="P152" s="63"/>
      <c r="Q152" s="64">
        <v>0</v>
      </c>
      <c r="R152" s="64"/>
      <c r="S152" s="200">
        <v>0</v>
      </c>
      <c r="T152" s="155"/>
      <c r="U152" s="63"/>
      <c r="V152" s="64">
        <v>0</v>
      </c>
      <c r="W152" s="64"/>
      <c r="X152" s="200">
        <v>0</v>
      </c>
      <c r="Y152" s="155"/>
      <c r="Z152" s="63"/>
      <c r="AA152" s="64">
        <v>0</v>
      </c>
      <c r="AB152" s="64"/>
      <c r="AC152" s="200">
        <v>0</v>
      </c>
      <c r="AD152" s="156"/>
      <c r="AE152" s="153"/>
      <c r="AF152" s="140">
        <v>6</v>
      </c>
      <c r="AG152" s="140"/>
      <c r="AH152" s="200">
        <v>8.8999999999999999E-3</v>
      </c>
      <c r="AI152" s="140"/>
      <c r="AJ152" s="153"/>
      <c r="AK152" s="140">
        <v>0</v>
      </c>
      <c r="AL152" s="140"/>
      <c r="AM152" s="200">
        <v>0</v>
      </c>
      <c r="AN152" s="156"/>
      <c r="AO152" s="230">
        <v>8.8999999999999999E-3</v>
      </c>
      <c r="AP152" s="223">
        <v>395</v>
      </c>
      <c r="AQ152" s="223">
        <v>350</v>
      </c>
      <c r="AR152" s="235">
        <v>0.88600000000000001</v>
      </c>
      <c r="AS152" s="223">
        <v>309</v>
      </c>
      <c r="AT152" s="235">
        <v>0.78200000000000003</v>
      </c>
      <c r="AU152" s="223">
        <v>301</v>
      </c>
      <c r="AV152" s="232">
        <v>0.76200000000000001</v>
      </c>
      <c r="AW152" s="223">
        <v>219</v>
      </c>
      <c r="AX152" s="223">
        <v>216</v>
      </c>
      <c r="AY152" s="235">
        <v>0.98599999999999999</v>
      </c>
      <c r="AZ152" s="223">
        <v>206</v>
      </c>
      <c r="BA152" s="235">
        <v>0.94099999999999995</v>
      </c>
      <c r="BB152" s="223">
        <v>205</v>
      </c>
      <c r="BC152" s="232">
        <v>0.93600000000000005</v>
      </c>
    </row>
    <row r="153" spans="1:55" x14ac:dyDescent="0.25">
      <c r="A153" s="226">
        <v>1</v>
      </c>
      <c r="B153" s="211" t="s">
        <v>117</v>
      </c>
      <c r="C153" s="211">
        <v>590</v>
      </c>
      <c r="D153" s="211" t="s">
        <v>329</v>
      </c>
      <c r="E153" s="211">
        <v>1855</v>
      </c>
      <c r="F153" s="211">
        <v>1863</v>
      </c>
      <c r="G153" s="211"/>
      <c r="H153" s="220" t="str">
        <f>HYPERLINK("https://map.geo.admin.ch/?zoom=7&amp;E=635000&amp;N=172400&amp;layers=ch.kantone.cadastralwebmap-farbe,ch.swisstopo.amtliches-strassenverzeichnis,ch.bfs.gebaeude_wohnungs_register,KML||https://tinyurl.com/yy7ya4g9/BE/0590_bdg_erw.kml","KML building")</f>
        <v>KML building</v>
      </c>
      <c r="I153" s="154">
        <v>0</v>
      </c>
      <c r="J153" s="243" t="s">
        <v>1114</v>
      </c>
      <c r="K153" s="153">
        <v>0</v>
      </c>
      <c r="L153" s="64">
        <v>0</v>
      </c>
      <c r="M153" s="64"/>
      <c r="N153" s="200">
        <v>0</v>
      </c>
      <c r="O153" s="155"/>
      <c r="P153" s="63"/>
      <c r="Q153" s="64">
        <v>0</v>
      </c>
      <c r="R153" s="64"/>
      <c r="S153" s="200">
        <v>0</v>
      </c>
      <c r="T153" s="155"/>
      <c r="U153" s="63"/>
      <c r="V153" s="64">
        <v>0</v>
      </c>
      <c r="W153" s="64"/>
      <c r="X153" s="200">
        <v>0</v>
      </c>
      <c r="Y153" s="155"/>
      <c r="Z153" s="63"/>
      <c r="AA153" s="64">
        <v>0</v>
      </c>
      <c r="AB153" s="64"/>
      <c r="AC153" s="200">
        <v>0</v>
      </c>
      <c r="AD153" s="156"/>
      <c r="AE153" s="153"/>
      <c r="AF153" s="140">
        <v>0</v>
      </c>
      <c r="AG153" s="140"/>
      <c r="AH153" s="200">
        <v>0</v>
      </c>
      <c r="AI153" s="140"/>
      <c r="AJ153" s="153"/>
      <c r="AK153" s="140">
        <v>0</v>
      </c>
      <c r="AL153" s="140"/>
      <c r="AM153" s="200">
        <v>0</v>
      </c>
      <c r="AN153" s="156"/>
      <c r="AO153" s="230">
        <v>0</v>
      </c>
      <c r="AP153" s="223">
        <v>836</v>
      </c>
      <c r="AQ153" s="223">
        <v>746</v>
      </c>
      <c r="AR153" s="235">
        <v>0.89200000000000002</v>
      </c>
      <c r="AS153" s="223">
        <v>633</v>
      </c>
      <c r="AT153" s="235">
        <v>0.75700000000000001</v>
      </c>
      <c r="AU153" s="223">
        <v>603</v>
      </c>
      <c r="AV153" s="232">
        <v>0.72099999999999997</v>
      </c>
      <c r="AW153" s="223">
        <v>429</v>
      </c>
      <c r="AX153" s="223">
        <v>387</v>
      </c>
      <c r="AY153" s="235">
        <v>0.90200000000000002</v>
      </c>
      <c r="AZ153" s="223">
        <v>342</v>
      </c>
      <c r="BA153" s="235">
        <v>0.79700000000000004</v>
      </c>
      <c r="BB153" s="223">
        <v>332</v>
      </c>
      <c r="BC153" s="232">
        <v>0.77400000000000002</v>
      </c>
    </row>
    <row r="154" spans="1:55" x14ac:dyDescent="0.25">
      <c r="A154" s="226">
        <v>1</v>
      </c>
      <c r="B154" s="211" t="s">
        <v>117</v>
      </c>
      <c r="C154" s="211">
        <v>591</v>
      </c>
      <c r="D154" s="211" t="s">
        <v>330</v>
      </c>
      <c r="E154" s="211">
        <v>310</v>
      </c>
      <c r="F154" s="211">
        <v>312</v>
      </c>
      <c r="G154" s="211"/>
      <c r="H154" s="220" t="str">
        <f>HYPERLINK("https://map.geo.admin.ch/?zoom=7&amp;E=630100&amp;N=165100&amp;layers=ch.kantone.cadastralwebmap-farbe,ch.swisstopo.amtliches-strassenverzeichnis,ch.bfs.gebaeude_wohnungs_register,KML||https://tinyurl.com/yy7ya4g9/BE/0591_bdg_erw.kml","KML building")</f>
        <v>KML building</v>
      </c>
      <c r="I154" s="154">
        <v>1</v>
      </c>
      <c r="J154" s="243" t="s">
        <v>1115</v>
      </c>
      <c r="K154" s="153">
        <v>3.2258064516129032E-3</v>
      </c>
      <c r="L154" s="64">
        <v>0</v>
      </c>
      <c r="M154" s="64"/>
      <c r="N154" s="200">
        <v>0</v>
      </c>
      <c r="O154" s="155"/>
      <c r="P154" s="63"/>
      <c r="Q154" s="64">
        <v>0</v>
      </c>
      <c r="R154" s="64"/>
      <c r="S154" s="200">
        <v>0</v>
      </c>
      <c r="T154" s="155"/>
      <c r="U154" s="63"/>
      <c r="V154" s="64">
        <v>0</v>
      </c>
      <c r="W154" s="64"/>
      <c r="X154" s="200">
        <v>0</v>
      </c>
      <c r="Y154" s="155"/>
      <c r="Z154" s="63"/>
      <c r="AA154" s="64">
        <v>0</v>
      </c>
      <c r="AB154" s="64"/>
      <c r="AC154" s="200">
        <v>0</v>
      </c>
      <c r="AD154" s="156"/>
      <c r="AE154" s="153"/>
      <c r="AF154" s="140">
        <v>1</v>
      </c>
      <c r="AG154" s="140"/>
      <c r="AH154" s="200">
        <v>3.2000000000000002E-3</v>
      </c>
      <c r="AI154" s="140"/>
      <c r="AJ154" s="153"/>
      <c r="AK154" s="140">
        <v>0</v>
      </c>
      <c r="AL154" s="140"/>
      <c r="AM154" s="200">
        <v>0</v>
      </c>
      <c r="AN154" s="156"/>
      <c r="AO154" s="230">
        <v>3.2000000000000002E-3</v>
      </c>
      <c r="AP154" s="223">
        <v>211</v>
      </c>
      <c r="AQ154" s="223">
        <v>208</v>
      </c>
      <c r="AR154" s="235">
        <v>0.98599999999999999</v>
      </c>
      <c r="AS154" s="223">
        <v>158</v>
      </c>
      <c r="AT154" s="235">
        <v>0.749</v>
      </c>
      <c r="AU154" s="223">
        <v>157</v>
      </c>
      <c r="AV154" s="232">
        <v>0.74399999999999999</v>
      </c>
      <c r="AW154" s="223">
        <v>146</v>
      </c>
      <c r="AX154" s="223">
        <v>144</v>
      </c>
      <c r="AY154" s="235">
        <v>0.98599999999999999</v>
      </c>
      <c r="AZ154" s="223">
        <v>116</v>
      </c>
      <c r="BA154" s="235">
        <v>0.79500000000000004</v>
      </c>
      <c r="BB154" s="223">
        <v>115</v>
      </c>
      <c r="BC154" s="232">
        <v>0.78800000000000003</v>
      </c>
    </row>
    <row r="155" spans="1:55" x14ac:dyDescent="0.25">
      <c r="A155" s="226">
        <v>1</v>
      </c>
      <c r="B155" s="211" t="s">
        <v>117</v>
      </c>
      <c r="C155" s="211">
        <v>592</v>
      </c>
      <c r="D155" s="211" t="s">
        <v>331</v>
      </c>
      <c r="E155" s="211">
        <v>540</v>
      </c>
      <c r="F155" s="211">
        <v>542</v>
      </c>
      <c r="G155" s="211"/>
      <c r="H155" s="220" t="str">
        <f>HYPERLINK("https://map.geo.admin.ch/?zoom=7&amp;E=647200&amp;N=178900&amp;layers=ch.kantone.cadastralwebmap-farbe,ch.swisstopo.amtliches-strassenverzeichnis,ch.bfs.gebaeude_wohnungs_register,KML||https://tinyurl.com/yy7ya4g9/BE/0592_bdg_erw.kml","KML building")</f>
        <v>KML building</v>
      </c>
      <c r="I155" s="154">
        <v>0</v>
      </c>
      <c r="J155" s="243" t="s">
        <v>1116</v>
      </c>
      <c r="K155" s="153">
        <v>0</v>
      </c>
      <c r="L155" s="64">
        <v>0</v>
      </c>
      <c r="M155" s="64"/>
      <c r="N155" s="200">
        <v>0</v>
      </c>
      <c r="O155" s="155"/>
      <c r="P155" s="63"/>
      <c r="Q155" s="64">
        <v>0</v>
      </c>
      <c r="R155" s="64"/>
      <c r="S155" s="200">
        <v>0</v>
      </c>
      <c r="T155" s="155"/>
      <c r="U155" s="63"/>
      <c r="V155" s="64">
        <v>0</v>
      </c>
      <c r="W155" s="64"/>
      <c r="X155" s="200">
        <v>0</v>
      </c>
      <c r="Y155" s="155"/>
      <c r="Z155" s="63"/>
      <c r="AA155" s="64">
        <v>0</v>
      </c>
      <c r="AB155" s="64"/>
      <c r="AC155" s="200">
        <v>0</v>
      </c>
      <c r="AD155" s="156"/>
      <c r="AE155" s="153"/>
      <c r="AF155" s="140">
        <v>1</v>
      </c>
      <c r="AG155" s="140"/>
      <c r="AH155" s="200">
        <v>1.9E-3</v>
      </c>
      <c r="AI155" s="140"/>
      <c r="AJ155" s="153"/>
      <c r="AK155" s="140">
        <v>0</v>
      </c>
      <c r="AL155" s="140"/>
      <c r="AM155" s="200">
        <v>0</v>
      </c>
      <c r="AN155" s="156"/>
      <c r="AO155" s="230">
        <v>1.9E-3</v>
      </c>
      <c r="AP155" s="223">
        <v>270</v>
      </c>
      <c r="AQ155" s="223">
        <v>221</v>
      </c>
      <c r="AR155" s="235">
        <v>0.81899999999999995</v>
      </c>
      <c r="AS155" s="223">
        <v>211</v>
      </c>
      <c r="AT155" s="235">
        <v>0.78100000000000003</v>
      </c>
      <c r="AU155" s="223">
        <v>193</v>
      </c>
      <c r="AV155" s="232">
        <v>0.71499999999999997</v>
      </c>
      <c r="AW155" s="223">
        <v>138</v>
      </c>
      <c r="AX155" s="223">
        <v>136</v>
      </c>
      <c r="AY155" s="235">
        <v>0.98599999999999999</v>
      </c>
      <c r="AZ155" s="223">
        <v>129</v>
      </c>
      <c r="BA155" s="235">
        <v>0.93500000000000005</v>
      </c>
      <c r="BB155" s="223">
        <v>128</v>
      </c>
      <c r="BC155" s="232">
        <v>0.92800000000000005</v>
      </c>
    </row>
    <row r="156" spans="1:55" x14ac:dyDescent="0.25">
      <c r="A156" s="226">
        <v>1</v>
      </c>
      <c r="B156" s="211" t="s">
        <v>117</v>
      </c>
      <c r="C156" s="211">
        <v>593</v>
      </c>
      <c r="D156" s="211" t="s">
        <v>332</v>
      </c>
      <c r="E156" s="211">
        <v>2260</v>
      </c>
      <c r="F156" s="211">
        <v>2285</v>
      </c>
      <c r="G156" s="211"/>
      <c r="H156" s="220" t="str">
        <f>HYPERLINK("https://map.geo.admin.ch/?zoom=7&amp;E=631200&amp;N=170400&amp;layers=ch.kantone.cadastralwebmap-farbe,ch.swisstopo.amtliches-strassenverzeichnis,ch.bfs.gebaeude_wohnungs_register,KML||https://tinyurl.com/yy7ya4g9/BE/0593_bdg_erw.kml","KML building")</f>
        <v>KML building</v>
      </c>
      <c r="I156" s="154">
        <v>0</v>
      </c>
      <c r="J156" s="243" t="s">
        <v>1117</v>
      </c>
      <c r="K156" s="153">
        <v>0</v>
      </c>
      <c r="L156" s="64">
        <v>0</v>
      </c>
      <c r="M156" s="64"/>
      <c r="N156" s="200">
        <v>0</v>
      </c>
      <c r="O156" s="155"/>
      <c r="P156" s="63"/>
      <c r="Q156" s="64">
        <v>0</v>
      </c>
      <c r="R156" s="64"/>
      <c r="S156" s="200">
        <v>0</v>
      </c>
      <c r="T156" s="155"/>
      <c r="U156" s="63"/>
      <c r="V156" s="64">
        <v>0</v>
      </c>
      <c r="W156" s="64"/>
      <c r="X156" s="200">
        <v>0</v>
      </c>
      <c r="Y156" s="155"/>
      <c r="Z156" s="63"/>
      <c r="AA156" s="64">
        <v>0</v>
      </c>
      <c r="AB156" s="64"/>
      <c r="AC156" s="200">
        <v>0</v>
      </c>
      <c r="AD156" s="156"/>
      <c r="AE156" s="153"/>
      <c r="AF156" s="140">
        <v>4</v>
      </c>
      <c r="AG156" s="140"/>
      <c r="AH156" s="200">
        <v>1.8E-3</v>
      </c>
      <c r="AI156" s="140"/>
      <c r="AJ156" s="153"/>
      <c r="AK156" s="140">
        <v>0</v>
      </c>
      <c r="AL156" s="140"/>
      <c r="AM156" s="200">
        <v>0</v>
      </c>
      <c r="AN156" s="156"/>
      <c r="AO156" s="230">
        <v>1.8E-3</v>
      </c>
      <c r="AP156" s="223">
        <v>781</v>
      </c>
      <c r="AQ156" s="223">
        <v>637</v>
      </c>
      <c r="AR156" s="235">
        <v>0.81599999999999995</v>
      </c>
      <c r="AS156" s="223">
        <v>632</v>
      </c>
      <c r="AT156" s="235">
        <v>0.80900000000000005</v>
      </c>
      <c r="AU156" s="223">
        <v>579</v>
      </c>
      <c r="AV156" s="232">
        <v>0.74099999999999999</v>
      </c>
      <c r="AW156" s="223">
        <v>397</v>
      </c>
      <c r="AX156" s="223">
        <v>366</v>
      </c>
      <c r="AY156" s="235">
        <v>0.92200000000000004</v>
      </c>
      <c r="AZ156" s="223">
        <v>363</v>
      </c>
      <c r="BA156" s="235">
        <v>0.91400000000000003</v>
      </c>
      <c r="BB156" s="223">
        <v>344</v>
      </c>
      <c r="BC156" s="232">
        <v>0.86599999999999999</v>
      </c>
    </row>
    <row r="157" spans="1:55" x14ac:dyDescent="0.25">
      <c r="A157" s="226">
        <v>1</v>
      </c>
      <c r="B157" s="211" t="s">
        <v>117</v>
      </c>
      <c r="C157" s="211">
        <v>594</v>
      </c>
      <c r="D157" s="211" t="s">
        <v>333</v>
      </c>
      <c r="E157" s="211">
        <v>1565</v>
      </c>
      <c r="F157" s="211">
        <v>1577</v>
      </c>
      <c r="G157" s="211"/>
      <c r="H157" s="220" t="str">
        <f>HYPERLINK("https://map.geo.admin.ch/?zoom=7&amp;E=632600&amp;N=168000&amp;layers=ch.kantone.cadastralwebmap-farbe,ch.swisstopo.amtliches-strassenverzeichnis,ch.bfs.gebaeude_wohnungs_register,KML||https://tinyurl.com/yy7ya4g9/BE/0594_bdg_erw.kml","KML building")</f>
        <v>KML building</v>
      </c>
      <c r="I157" s="154">
        <v>1</v>
      </c>
      <c r="J157" s="243" t="s">
        <v>1118</v>
      </c>
      <c r="K157" s="153">
        <v>6.3897763578274762E-4</v>
      </c>
      <c r="L157" s="64">
        <v>0</v>
      </c>
      <c r="M157" s="64"/>
      <c r="N157" s="200">
        <v>0</v>
      </c>
      <c r="O157" s="155"/>
      <c r="P157" s="63"/>
      <c r="Q157" s="64">
        <v>0</v>
      </c>
      <c r="R157" s="64"/>
      <c r="S157" s="200">
        <v>0</v>
      </c>
      <c r="T157" s="155"/>
      <c r="U157" s="63"/>
      <c r="V157" s="64">
        <v>0</v>
      </c>
      <c r="W157" s="64"/>
      <c r="X157" s="200">
        <v>0</v>
      </c>
      <c r="Y157" s="155"/>
      <c r="Z157" s="63"/>
      <c r="AA157" s="64">
        <v>0</v>
      </c>
      <c r="AB157" s="64"/>
      <c r="AC157" s="200">
        <v>0</v>
      </c>
      <c r="AD157" s="156"/>
      <c r="AE157" s="153"/>
      <c r="AF157" s="140">
        <v>5</v>
      </c>
      <c r="AG157" s="140"/>
      <c r="AH157" s="200">
        <v>3.2000000000000002E-3</v>
      </c>
      <c r="AI157" s="140"/>
      <c r="AJ157" s="153"/>
      <c r="AK157" s="140">
        <v>2</v>
      </c>
      <c r="AL157" s="140"/>
      <c r="AM157" s="200">
        <v>1.2999999999999999E-3</v>
      </c>
      <c r="AN157" s="156"/>
      <c r="AO157" s="230">
        <v>4.5000000000000005E-3</v>
      </c>
      <c r="AP157" s="223">
        <v>644</v>
      </c>
      <c r="AQ157" s="223">
        <v>512</v>
      </c>
      <c r="AR157" s="235">
        <v>0.79500000000000004</v>
      </c>
      <c r="AS157" s="223">
        <v>469</v>
      </c>
      <c r="AT157" s="235">
        <v>0.72799999999999998</v>
      </c>
      <c r="AU157" s="223">
        <v>439</v>
      </c>
      <c r="AV157" s="232">
        <v>0.68200000000000005</v>
      </c>
      <c r="AW157" s="223">
        <v>349</v>
      </c>
      <c r="AX157" s="223">
        <v>327</v>
      </c>
      <c r="AY157" s="235">
        <v>0.93700000000000006</v>
      </c>
      <c r="AZ157" s="223">
        <v>299</v>
      </c>
      <c r="BA157" s="235">
        <v>0.85699999999999998</v>
      </c>
      <c r="BB157" s="223">
        <v>292</v>
      </c>
      <c r="BC157" s="232">
        <v>0.83699999999999997</v>
      </c>
    </row>
    <row r="158" spans="1:55" x14ac:dyDescent="0.25">
      <c r="A158" s="226">
        <v>1</v>
      </c>
      <c r="B158" s="211" t="s">
        <v>117</v>
      </c>
      <c r="C158" s="211">
        <v>602</v>
      </c>
      <c r="D158" s="211" t="s">
        <v>334</v>
      </c>
      <c r="E158" s="211">
        <v>688</v>
      </c>
      <c r="F158" s="211">
        <v>689</v>
      </c>
      <c r="G158" s="211"/>
      <c r="H158" s="220" t="str">
        <f>HYPERLINK("https://map.geo.admin.ch/?zoom=7&amp;E=617200&amp;N=198200&amp;layers=ch.kantone.cadastralwebmap-farbe,ch.swisstopo.amtliches-strassenverzeichnis,ch.bfs.gebaeude_wohnungs_register,KML||https://tinyurl.com/yy7ya4g9/BE/0602_bdg_erw.kml","KML building")</f>
        <v>KML building</v>
      </c>
      <c r="I158" s="154">
        <v>0</v>
      </c>
      <c r="J158" s="243" t="s">
        <v>1119</v>
      </c>
      <c r="K158" s="153">
        <v>0</v>
      </c>
      <c r="L158" s="64">
        <v>0</v>
      </c>
      <c r="M158" s="64"/>
      <c r="N158" s="200">
        <v>0</v>
      </c>
      <c r="O158" s="155"/>
      <c r="P158" s="63"/>
      <c r="Q158" s="64">
        <v>0</v>
      </c>
      <c r="R158" s="64"/>
      <c r="S158" s="200">
        <v>0</v>
      </c>
      <c r="T158" s="155"/>
      <c r="U158" s="63"/>
      <c r="V158" s="64">
        <v>0</v>
      </c>
      <c r="W158" s="64"/>
      <c r="X158" s="200">
        <v>0</v>
      </c>
      <c r="Y158" s="155"/>
      <c r="Z158" s="63"/>
      <c r="AA158" s="64">
        <v>0</v>
      </c>
      <c r="AB158" s="64"/>
      <c r="AC158" s="200">
        <v>0</v>
      </c>
      <c r="AD158" s="156"/>
      <c r="AE158" s="153"/>
      <c r="AF158" s="140">
        <v>1</v>
      </c>
      <c r="AG158" s="140"/>
      <c r="AH158" s="200">
        <v>1.5E-3</v>
      </c>
      <c r="AI158" s="140"/>
      <c r="AJ158" s="153"/>
      <c r="AK158" s="140">
        <v>0</v>
      </c>
      <c r="AL158" s="140"/>
      <c r="AM158" s="200">
        <v>0</v>
      </c>
      <c r="AN158" s="156"/>
      <c r="AO158" s="230">
        <v>1.5E-3</v>
      </c>
      <c r="AP158" s="223">
        <v>353</v>
      </c>
      <c r="AQ158" s="223">
        <v>297</v>
      </c>
      <c r="AR158" s="235">
        <v>0.84099999999999997</v>
      </c>
      <c r="AS158" s="223">
        <v>265</v>
      </c>
      <c r="AT158" s="235">
        <v>0.751</v>
      </c>
      <c r="AU158" s="223">
        <v>262</v>
      </c>
      <c r="AV158" s="232">
        <v>0.74199999999999999</v>
      </c>
      <c r="AW158" s="223">
        <v>212</v>
      </c>
      <c r="AX158" s="223">
        <v>207</v>
      </c>
      <c r="AY158" s="235">
        <v>0.97599999999999998</v>
      </c>
      <c r="AZ158" s="223">
        <v>195</v>
      </c>
      <c r="BA158" s="235">
        <v>0.92</v>
      </c>
      <c r="BB158" s="223">
        <v>194</v>
      </c>
      <c r="BC158" s="232">
        <v>0.91500000000000004</v>
      </c>
    </row>
    <row r="159" spans="1:55" x14ac:dyDescent="0.25">
      <c r="A159" s="226">
        <v>1</v>
      </c>
      <c r="B159" s="211" t="s">
        <v>117</v>
      </c>
      <c r="C159" s="211">
        <v>603</v>
      </c>
      <c r="D159" s="211" t="s">
        <v>335</v>
      </c>
      <c r="E159" s="211">
        <v>859</v>
      </c>
      <c r="F159" s="211">
        <v>863</v>
      </c>
      <c r="G159" s="211"/>
      <c r="H159" s="220" t="str">
        <f>HYPERLINK("https://map.geo.admin.ch/?zoom=7&amp;E=614400&amp;N=197300&amp;layers=ch.kantone.cadastralwebmap-farbe,ch.swisstopo.amtliches-strassenverzeichnis,ch.bfs.gebaeude_wohnungs_register,KML||https://tinyurl.com/yy7ya4g9/BE/0603_bdg_erw.kml","KML building")</f>
        <v>KML building</v>
      </c>
      <c r="I159" s="154">
        <v>0</v>
      </c>
      <c r="J159" s="243" t="s">
        <v>1120</v>
      </c>
      <c r="K159" s="153">
        <v>0</v>
      </c>
      <c r="L159" s="64">
        <v>0</v>
      </c>
      <c r="M159" s="64"/>
      <c r="N159" s="200">
        <v>0</v>
      </c>
      <c r="O159" s="155"/>
      <c r="P159" s="63"/>
      <c r="Q159" s="64">
        <v>0</v>
      </c>
      <c r="R159" s="64"/>
      <c r="S159" s="200">
        <v>0</v>
      </c>
      <c r="T159" s="155"/>
      <c r="U159" s="63"/>
      <c r="V159" s="64">
        <v>0</v>
      </c>
      <c r="W159" s="64"/>
      <c r="X159" s="200">
        <v>0</v>
      </c>
      <c r="Y159" s="155"/>
      <c r="Z159" s="63"/>
      <c r="AA159" s="64">
        <v>0</v>
      </c>
      <c r="AB159" s="64"/>
      <c r="AC159" s="200">
        <v>0</v>
      </c>
      <c r="AD159" s="156"/>
      <c r="AE159" s="153"/>
      <c r="AF159" s="140">
        <v>1</v>
      </c>
      <c r="AG159" s="140"/>
      <c r="AH159" s="200">
        <v>1.1999999999999999E-3</v>
      </c>
      <c r="AI159" s="140"/>
      <c r="AJ159" s="153"/>
      <c r="AK159" s="140">
        <v>2</v>
      </c>
      <c r="AL159" s="140"/>
      <c r="AM159" s="200">
        <v>2.3E-3</v>
      </c>
      <c r="AN159" s="156"/>
      <c r="AO159" s="230">
        <v>3.4999999999999996E-3</v>
      </c>
      <c r="AP159" s="223">
        <v>336</v>
      </c>
      <c r="AQ159" s="223">
        <v>271</v>
      </c>
      <c r="AR159" s="235">
        <v>0.80700000000000005</v>
      </c>
      <c r="AS159" s="223">
        <v>229</v>
      </c>
      <c r="AT159" s="235">
        <v>0.68200000000000005</v>
      </c>
      <c r="AU159" s="223">
        <v>218</v>
      </c>
      <c r="AV159" s="232">
        <v>0.64900000000000002</v>
      </c>
      <c r="AW159" s="223">
        <v>173</v>
      </c>
      <c r="AX159" s="223">
        <v>162</v>
      </c>
      <c r="AY159" s="235">
        <v>0.93600000000000005</v>
      </c>
      <c r="AZ159" s="223">
        <v>147</v>
      </c>
      <c r="BA159" s="235">
        <v>0.85</v>
      </c>
      <c r="BB159" s="223">
        <v>146</v>
      </c>
      <c r="BC159" s="232">
        <v>0.84399999999999997</v>
      </c>
    </row>
    <row r="160" spans="1:55" x14ac:dyDescent="0.25">
      <c r="A160" s="226">
        <v>1</v>
      </c>
      <c r="B160" s="211" t="s">
        <v>117</v>
      </c>
      <c r="C160" s="211">
        <v>605</v>
      </c>
      <c r="D160" s="211" t="s">
        <v>336</v>
      </c>
      <c r="E160" s="211">
        <v>1007</v>
      </c>
      <c r="F160" s="211">
        <v>1008</v>
      </c>
      <c r="G160" s="211"/>
      <c r="H160" s="220" t="str">
        <f>HYPERLINK("https://map.geo.admin.ch/?zoom=7&amp;E=619600&amp;N=193500&amp;layers=ch.kantone.cadastralwebmap-farbe,ch.swisstopo.amtliches-strassenverzeichnis,ch.bfs.gebaeude_wohnungs_register,KML||https://tinyurl.com/yy7ya4g9/BE/0605_bdg_erw.kml","KML building")</f>
        <v>KML building</v>
      </c>
      <c r="I160" s="154">
        <v>0</v>
      </c>
      <c r="J160" s="243" t="s">
        <v>1121</v>
      </c>
      <c r="K160" s="153">
        <v>0</v>
      </c>
      <c r="L160" s="64">
        <v>0</v>
      </c>
      <c r="M160" s="64"/>
      <c r="N160" s="200">
        <v>0</v>
      </c>
      <c r="O160" s="155"/>
      <c r="P160" s="63"/>
      <c r="Q160" s="64">
        <v>0</v>
      </c>
      <c r="R160" s="64"/>
      <c r="S160" s="200">
        <v>0</v>
      </c>
      <c r="T160" s="155"/>
      <c r="U160" s="63"/>
      <c r="V160" s="64">
        <v>0</v>
      </c>
      <c r="W160" s="64"/>
      <c r="X160" s="200">
        <v>0</v>
      </c>
      <c r="Y160" s="155"/>
      <c r="Z160" s="63"/>
      <c r="AA160" s="64">
        <v>0</v>
      </c>
      <c r="AB160" s="64"/>
      <c r="AC160" s="200">
        <v>0</v>
      </c>
      <c r="AD160" s="156"/>
      <c r="AE160" s="153"/>
      <c r="AF160" s="140">
        <v>0</v>
      </c>
      <c r="AG160" s="140"/>
      <c r="AH160" s="200">
        <v>0</v>
      </c>
      <c r="AI160" s="140"/>
      <c r="AJ160" s="153"/>
      <c r="AK160" s="140">
        <v>0</v>
      </c>
      <c r="AL160" s="140"/>
      <c r="AM160" s="200">
        <v>0</v>
      </c>
      <c r="AN160" s="156"/>
      <c r="AO160" s="230">
        <v>0</v>
      </c>
      <c r="AP160" s="223">
        <v>556</v>
      </c>
      <c r="AQ160" s="223">
        <v>450</v>
      </c>
      <c r="AR160" s="235">
        <v>0.80900000000000005</v>
      </c>
      <c r="AS160" s="223">
        <v>417</v>
      </c>
      <c r="AT160" s="235">
        <v>0.75</v>
      </c>
      <c r="AU160" s="223">
        <v>408</v>
      </c>
      <c r="AV160" s="232">
        <v>0.73399999999999999</v>
      </c>
      <c r="AW160" s="223">
        <v>290</v>
      </c>
      <c r="AX160" s="223">
        <v>284</v>
      </c>
      <c r="AY160" s="235">
        <v>0.97899999999999998</v>
      </c>
      <c r="AZ160" s="223">
        <v>273</v>
      </c>
      <c r="BA160" s="235">
        <v>0.94099999999999995</v>
      </c>
      <c r="BB160" s="223">
        <v>269</v>
      </c>
      <c r="BC160" s="232">
        <v>0.92800000000000005</v>
      </c>
    </row>
    <row r="161" spans="1:55" x14ac:dyDescent="0.25">
      <c r="A161" s="226">
        <v>1</v>
      </c>
      <c r="B161" s="211" t="s">
        <v>117</v>
      </c>
      <c r="C161" s="211">
        <v>606</v>
      </c>
      <c r="D161" s="211" t="s">
        <v>337</v>
      </c>
      <c r="E161" s="211">
        <v>287</v>
      </c>
      <c r="F161" s="211">
        <v>410</v>
      </c>
      <c r="G161" s="211"/>
      <c r="H161" s="220" t="str">
        <f>HYPERLINK("https://map.geo.admin.ch/?zoom=7&amp;E=613400&amp;N=185100&amp;layers=ch.kantone.cadastralwebmap-farbe,ch.swisstopo.amtliches-strassenverzeichnis,ch.bfs.gebaeude_wohnungs_register,KML||https://tinyurl.com/yy7ya4g9/BE/0606_bdg_erw.kml","KML building")</f>
        <v>KML building</v>
      </c>
      <c r="I161" s="154">
        <v>0</v>
      </c>
      <c r="J161" s="243" t="s">
        <v>1122</v>
      </c>
      <c r="K161" s="153">
        <v>0</v>
      </c>
      <c r="L161" s="64">
        <v>0</v>
      </c>
      <c r="M161" s="64"/>
      <c r="N161" s="200">
        <v>0</v>
      </c>
      <c r="O161" s="155"/>
      <c r="P161" s="63"/>
      <c r="Q161" s="64">
        <v>0</v>
      </c>
      <c r="R161" s="64"/>
      <c r="S161" s="200">
        <v>0</v>
      </c>
      <c r="T161" s="155"/>
      <c r="U161" s="63"/>
      <c r="V161" s="64">
        <v>0</v>
      </c>
      <c r="W161" s="64"/>
      <c r="X161" s="200">
        <v>0</v>
      </c>
      <c r="Y161" s="155"/>
      <c r="Z161" s="63"/>
      <c r="AA161" s="64">
        <v>0</v>
      </c>
      <c r="AB161" s="64"/>
      <c r="AC161" s="200">
        <v>0</v>
      </c>
      <c r="AD161" s="156"/>
      <c r="AE161" s="153"/>
      <c r="AF161" s="140">
        <v>3</v>
      </c>
      <c r="AG161" s="140"/>
      <c r="AH161" s="200">
        <v>1.0500000000000001E-2</v>
      </c>
      <c r="AI161" s="140"/>
      <c r="AJ161" s="153"/>
      <c r="AK161" s="140">
        <v>0</v>
      </c>
      <c r="AL161" s="140"/>
      <c r="AM161" s="200">
        <v>0</v>
      </c>
      <c r="AN161" s="156"/>
      <c r="AO161" s="230">
        <v>1.0500000000000001E-2</v>
      </c>
      <c r="AP161" s="223">
        <v>131</v>
      </c>
      <c r="AQ161" s="223">
        <v>128</v>
      </c>
      <c r="AR161" s="235">
        <v>0.97699999999999998</v>
      </c>
      <c r="AS161" s="223">
        <v>110</v>
      </c>
      <c r="AT161" s="235">
        <v>0.84</v>
      </c>
      <c r="AU161" s="223">
        <v>110</v>
      </c>
      <c r="AV161" s="232">
        <v>0.84</v>
      </c>
      <c r="AW161" s="223">
        <v>53</v>
      </c>
      <c r="AX161" s="223">
        <v>50</v>
      </c>
      <c r="AY161" s="235">
        <v>0.94299999999999995</v>
      </c>
      <c r="AZ161" s="223">
        <v>49</v>
      </c>
      <c r="BA161" s="235">
        <v>0.92500000000000004</v>
      </c>
      <c r="BB161" s="223">
        <v>49</v>
      </c>
      <c r="BC161" s="232">
        <v>0.92500000000000004</v>
      </c>
    </row>
    <row r="162" spans="1:55" x14ac:dyDescent="0.25">
      <c r="A162" s="226">
        <v>1</v>
      </c>
      <c r="B162" s="211" t="s">
        <v>117</v>
      </c>
      <c r="C162" s="211">
        <v>607</v>
      </c>
      <c r="D162" s="211" t="s">
        <v>338</v>
      </c>
      <c r="E162" s="211">
        <v>235</v>
      </c>
      <c r="F162" s="211">
        <v>235</v>
      </c>
      <c r="G162" s="211"/>
      <c r="H162" s="220" t="str">
        <f>HYPERLINK("https://map.geo.admin.ch/?zoom=7&amp;E=614400&amp;N=190700&amp;layers=ch.kantone.cadastralwebmap-farbe,ch.swisstopo.amtliches-strassenverzeichnis,ch.bfs.gebaeude_wohnungs_register,KML||https://tinyurl.com/yy7ya4g9/BE/0607_bdg_erw.kml","KML building")</f>
        <v>KML building</v>
      </c>
      <c r="I162" s="154">
        <v>0</v>
      </c>
      <c r="J162" s="243" t="s">
        <v>1123</v>
      </c>
      <c r="K162" s="153">
        <v>0</v>
      </c>
      <c r="L162" s="64">
        <v>0</v>
      </c>
      <c r="M162" s="64"/>
      <c r="N162" s="200">
        <v>0</v>
      </c>
      <c r="O162" s="155"/>
      <c r="P162" s="63"/>
      <c r="Q162" s="64">
        <v>0</v>
      </c>
      <c r="R162" s="64"/>
      <c r="S162" s="200">
        <v>0</v>
      </c>
      <c r="T162" s="155"/>
      <c r="U162" s="63"/>
      <c r="V162" s="64">
        <v>0</v>
      </c>
      <c r="W162" s="64"/>
      <c r="X162" s="200">
        <v>0</v>
      </c>
      <c r="Y162" s="155"/>
      <c r="Z162" s="63"/>
      <c r="AA162" s="64">
        <v>0</v>
      </c>
      <c r="AB162" s="64"/>
      <c r="AC162" s="200">
        <v>0</v>
      </c>
      <c r="AD162" s="156"/>
      <c r="AE162" s="153"/>
      <c r="AF162" s="140">
        <v>0</v>
      </c>
      <c r="AG162" s="140"/>
      <c r="AH162" s="200">
        <v>0</v>
      </c>
      <c r="AI162" s="140"/>
      <c r="AJ162" s="153"/>
      <c r="AK162" s="140">
        <v>0</v>
      </c>
      <c r="AL162" s="140"/>
      <c r="AM162" s="200">
        <v>0</v>
      </c>
      <c r="AN162" s="156"/>
      <c r="AO162" s="230">
        <v>0</v>
      </c>
      <c r="AP162" s="223">
        <v>129</v>
      </c>
      <c r="AQ162" s="223">
        <v>128</v>
      </c>
      <c r="AR162" s="235">
        <v>0.99199999999999999</v>
      </c>
      <c r="AS162" s="223">
        <v>101</v>
      </c>
      <c r="AT162" s="235">
        <v>0.78300000000000003</v>
      </c>
      <c r="AU162" s="223">
        <v>101</v>
      </c>
      <c r="AV162" s="232">
        <v>0.78300000000000003</v>
      </c>
      <c r="AW162" s="223">
        <v>52</v>
      </c>
      <c r="AX162" s="223">
        <v>51</v>
      </c>
      <c r="AY162" s="235">
        <v>0.98099999999999998</v>
      </c>
      <c r="AZ162" s="223">
        <v>49</v>
      </c>
      <c r="BA162" s="235">
        <v>0.94199999999999995</v>
      </c>
      <c r="BB162" s="223">
        <v>49</v>
      </c>
      <c r="BC162" s="232">
        <v>0.94199999999999995</v>
      </c>
    </row>
    <row r="163" spans="1:55" x14ac:dyDescent="0.25">
      <c r="A163" s="226">
        <v>1</v>
      </c>
      <c r="B163" s="211" t="s">
        <v>117</v>
      </c>
      <c r="C163" s="211">
        <v>608</v>
      </c>
      <c r="D163" s="211" t="s">
        <v>339</v>
      </c>
      <c r="E163" s="211">
        <v>1818</v>
      </c>
      <c r="F163" s="211">
        <v>1824</v>
      </c>
      <c r="G163" s="211"/>
      <c r="H163" s="220" t="str">
        <f>HYPERLINK("https://map.geo.admin.ch/?zoom=7&amp;E=615200&amp;N=195100&amp;layers=ch.kantone.cadastralwebmap-farbe,ch.swisstopo.amtliches-strassenverzeichnis,ch.bfs.gebaeude_wohnungs_register,KML||https://tinyurl.com/yy7ya4g9/BE/0608_bdg_erw.kml","KML building")</f>
        <v>KML building</v>
      </c>
      <c r="I163" s="154">
        <v>0</v>
      </c>
      <c r="J163" s="243" t="s">
        <v>1124</v>
      </c>
      <c r="K163" s="153">
        <v>0</v>
      </c>
      <c r="L163" s="64">
        <v>0</v>
      </c>
      <c r="M163" s="64"/>
      <c r="N163" s="200">
        <v>0</v>
      </c>
      <c r="O163" s="155"/>
      <c r="P163" s="63"/>
      <c r="Q163" s="64">
        <v>0</v>
      </c>
      <c r="R163" s="64"/>
      <c r="S163" s="200">
        <v>0</v>
      </c>
      <c r="T163" s="155"/>
      <c r="U163" s="63"/>
      <c r="V163" s="64">
        <v>0</v>
      </c>
      <c r="W163" s="64"/>
      <c r="X163" s="200">
        <v>0</v>
      </c>
      <c r="Y163" s="155"/>
      <c r="Z163" s="63"/>
      <c r="AA163" s="64">
        <v>0</v>
      </c>
      <c r="AB163" s="64"/>
      <c r="AC163" s="200">
        <v>0</v>
      </c>
      <c r="AD163" s="156"/>
      <c r="AE163" s="153"/>
      <c r="AF163" s="140">
        <v>0</v>
      </c>
      <c r="AG163" s="140"/>
      <c r="AH163" s="200">
        <v>0</v>
      </c>
      <c r="AI163" s="140"/>
      <c r="AJ163" s="153"/>
      <c r="AK163" s="140">
        <v>0</v>
      </c>
      <c r="AL163" s="140"/>
      <c r="AM163" s="200">
        <v>0</v>
      </c>
      <c r="AN163" s="156"/>
      <c r="AO163" s="230">
        <v>0</v>
      </c>
      <c r="AP163" s="223">
        <v>692</v>
      </c>
      <c r="AQ163" s="223">
        <v>601</v>
      </c>
      <c r="AR163" s="235">
        <v>0.86799999999999999</v>
      </c>
      <c r="AS163" s="223">
        <v>490</v>
      </c>
      <c r="AT163" s="235">
        <v>0.70799999999999996</v>
      </c>
      <c r="AU163" s="223">
        <v>485</v>
      </c>
      <c r="AV163" s="232">
        <v>0.70099999999999996</v>
      </c>
      <c r="AW163" s="223">
        <v>348</v>
      </c>
      <c r="AX163" s="223">
        <v>330</v>
      </c>
      <c r="AY163" s="235">
        <v>0.94799999999999995</v>
      </c>
      <c r="AZ163" s="223">
        <v>302</v>
      </c>
      <c r="BA163" s="235">
        <v>0.86799999999999999</v>
      </c>
      <c r="BB163" s="223">
        <v>298</v>
      </c>
      <c r="BC163" s="232">
        <v>0.85599999999999998</v>
      </c>
    </row>
    <row r="164" spans="1:55" x14ac:dyDescent="0.25">
      <c r="A164" s="226">
        <v>1</v>
      </c>
      <c r="B164" s="211" t="s">
        <v>117</v>
      </c>
      <c r="C164" s="211">
        <v>609</v>
      </c>
      <c r="D164" s="211" t="s">
        <v>340</v>
      </c>
      <c r="E164" s="211">
        <v>204</v>
      </c>
      <c r="F164" s="211">
        <v>204</v>
      </c>
      <c r="G164" s="211"/>
      <c r="H164" s="220" t="str">
        <f>HYPERLINK("https://map.geo.admin.ch/?zoom=7&amp;E=612700&amp;N=189600&amp;layers=ch.kantone.cadastralwebmap-farbe,ch.swisstopo.amtliches-strassenverzeichnis,ch.bfs.gebaeude_wohnungs_register,KML||https://tinyurl.com/yy7ya4g9/BE/0609_bdg_erw.kml","KML building")</f>
        <v>KML building</v>
      </c>
      <c r="I164" s="154">
        <v>0</v>
      </c>
      <c r="J164" s="243" t="s">
        <v>1125</v>
      </c>
      <c r="K164" s="153">
        <v>0</v>
      </c>
      <c r="L164" s="64">
        <v>0</v>
      </c>
      <c r="M164" s="64"/>
      <c r="N164" s="200">
        <v>0</v>
      </c>
      <c r="O164" s="155"/>
      <c r="P164" s="63"/>
      <c r="Q164" s="64">
        <v>0</v>
      </c>
      <c r="R164" s="64"/>
      <c r="S164" s="200">
        <v>0</v>
      </c>
      <c r="T164" s="155"/>
      <c r="U164" s="63"/>
      <c r="V164" s="64">
        <v>0</v>
      </c>
      <c r="W164" s="64"/>
      <c r="X164" s="200">
        <v>0</v>
      </c>
      <c r="Y164" s="155"/>
      <c r="Z164" s="63"/>
      <c r="AA164" s="64">
        <v>0</v>
      </c>
      <c r="AB164" s="64"/>
      <c r="AC164" s="200">
        <v>0</v>
      </c>
      <c r="AD164" s="156"/>
      <c r="AE164" s="153"/>
      <c r="AF164" s="140">
        <v>1</v>
      </c>
      <c r="AG164" s="140"/>
      <c r="AH164" s="200">
        <v>4.8999999999999998E-3</v>
      </c>
      <c r="AI164" s="140"/>
      <c r="AJ164" s="153"/>
      <c r="AK164" s="140">
        <v>0</v>
      </c>
      <c r="AL164" s="140"/>
      <c r="AM164" s="200">
        <v>0</v>
      </c>
      <c r="AN164" s="156"/>
      <c r="AO164" s="230">
        <v>4.8999999999999998E-3</v>
      </c>
      <c r="AP164" s="223">
        <v>122</v>
      </c>
      <c r="AQ164" s="223">
        <v>120</v>
      </c>
      <c r="AR164" s="235">
        <v>0.98399999999999999</v>
      </c>
      <c r="AS164" s="223">
        <v>104</v>
      </c>
      <c r="AT164" s="235">
        <v>0.85199999999999998</v>
      </c>
      <c r="AU164" s="223">
        <v>104</v>
      </c>
      <c r="AV164" s="232">
        <v>0.85199999999999998</v>
      </c>
      <c r="AW164" s="223">
        <v>61</v>
      </c>
      <c r="AX164" s="223">
        <v>59</v>
      </c>
      <c r="AY164" s="235">
        <v>0.96699999999999997</v>
      </c>
      <c r="AZ164" s="223">
        <v>59</v>
      </c>
      <c r="BA164" s="235">
        <v>0.96699999999999997</v>
      </c>
      <c r="BB164" s="223">
        <v>59</v>
      </c>
      <c r="BC164" s="232">
        <v>0.96699999999999997</v>
      </c>
    </row>
    <row r="165" spans="1:55" x14ac:dyDescent="0.25">
      <c r="A165" s="226">
        <v>1</v>
      </c>
      <c r="B165" s="211" t="s">
        <v>117</v>
      </c>
      <c r="C165" s="211">
        <v>610</v>
      </c>
      <c r="D165" s="211" t="s">
        <v>341</v>
      </c>
      <c r="E165" s="211">
        <v>350</v>
      </c>
      <c r="F165" s="211">
        <v>352</v>
      </c>
      <c r="G165" s="211"/>
      <c r="H165" s="220" t="str">
        <f>HYPERLINK("https://map.geo.admin.ch/?zoom=7&amp;E=612800&amp;N=186400&amp;layers=ch.kantone.cadastralwebmap-farbe,ch.swisstopo.amtliches-strassenverzeichnis,ch.bfs.gebaeude_wohnungs_register,KML||https://tinyurl.com/yy7ya4g9/BE/0610_bdg_erw.kml","KML building")</f>
        <v>KML building</v>
      </c>
      <c r="I165" s="154">
        <v>0</v>
      </c>
      <c r="J165" s="243" t="s">
        <v>1126</v>
      </c>
      <c r="K165" s="153">
        <v>0</v>
      </c>
      <c r="L165" s="64">
        <v>0</v>
      </c>
      <c r="M165" s="64"/>
      <c r="N165" s="200">
        <v>0</v>
      </c>
      <c r="O165" s="155"/>
      <c r="P165" s="63"/>
      <c r="Q165" s="64">
        <v>0</v>
      </c>
      <c r="R165" s="64"/>
      <c r="S165" s="200">
        <v>0</v>
      </c>
      <c r="T165" s="155"/>
      <c r="U165" s="63"/>
      <c r="V165" s="64">
        <v>0</v>
      </c>
      <c r="W165" s="64"/>
      <c r="X165" s="200">
        <v>0</v>
      </c>
      <c r="Y165" s="155"/>
      <c r="Z165" s="63"/>
      <c r="AA165" s="64">
        <v>0</v>
      </c>
      <c r="AB165" s="64"/>
      <c r="AC165" s="200">
        <v>0</v>
      </c>
      <c r="AD165" s="156"/>
      <c r="AE165" s="153"/>
      <c r="AF165" s="140">
        <v>0</v>
      </c>
      <c r="AG165" s="140"/>
      <c r="AH165" s="200">
        <v>0</v>
      </c>
      <c r="AI165" s="140"/>
      <c r="AJ165" s="153"/>
      <c r="AK165" s="140">
        <v>0</v>
      </c>
      <c r="AL165" s="140"/>
      <c r="AM165" s="200">
        <v>0</v>
      </c>
      <c r="AN165" s="156"/>
      <c r="AO165" s="230">
        <v>0</v>
      </c>
      <c r="AP165" s="223">
        <v>159</v>
      </c>
      <c r="AQ165" s="223">
        <v>147</v>
      </c>
      <c r="AR165" s="235">
        <v>0.92500000000000004</v>
      </c>
      <c r="AS165" s="223">
        <v>130</v>
      </c>
      <c r="AT165" s="235">
        <v>0.81799999999999995</v>
      </c>
      <c r="AU165" s="223">
        <v>130</v>
      </c>
      <c r="AV165" s="232">
        <v>0.81799999999999995</v>
      </c>
      <c r="AW165" s="223">
        <v>89</v>
      </c>
      <c r="AX165" s="223">
        <v>86</v>
      </c>
      <c r="AY165" s="235">
        <v>0.96599999999999997</v>
      </c>
      <c r="AZ165" s="223">
        <v>84</v>
      </c>
      <c r="BA165" s="235">
        <v>0.94399999999999995</v>
      </c>
      <c r="BB165" s="223">
        <v>84</v>
      </c>
      <c r="BC165" s="232">
        <v>0.94399999999999995</v>
      </c>
    </row>
    <row r="166" spans="1:55" x14ac:dyDescent="0.25">
      <c r="A166" s="226">
        <v>1</v>
      </c>
      <c r="B166" s="211" t="s">
        <v>117</v>
      </c>
      <c r="C166" s="211">
        <v>611</v>
      </c>
      <c r="D166" s="211" t="s">
        <v>342</v>
      </c>
      <c r="E166" s="211">
        <v>440</v>
      </c>
      <c r="F166" s="211">
        <v>441</v>
      </c>
      <c r="G166" s="211"/>
      <c r="H166" s="220" t="str">
        <f>HYPERLINK("https://map.geo.admin.ch/?zoom=7&amp;E=611000&amp;N=185400&amp;layers=ch.kantone.cadastralwebmap-farbe,ch.swisstopo.amtliches-strassenverzeichnis,ch.bfs.gebaeude_wohnungs_register,KML||https://tinyurl.com/yy7ya4g9/BE/0611_bdg_erw.kml","KML building")</f>
        <v>KML building</v>
      </c>
      <c r="I166" s="154">
        <v>1</v>
      </c>
      <c r="J166" s="243" t="s">
        <v>1127</v>
      </c>
      <c r="K166" s="153">
        <v>2.2727272727272726E-3</v>
      </c>
      <c r="L166" s="64">
        <v>0</v>
      </c>
      <c r="M166" s="64"/>
      <c r="N166" s="200">
        <v>0</v>
      </c>
      <c r="O166" s="155"/>
      <c r="P166" s="63"/>
      <c r="Q166" s="64">
        <v>0</v>
      </c>
      <c r="R166" s="64"/>
      <c r="S166" s="200">
        <v>0</v>
      </c>
      <c r="T166" s="155"/>
      <c r="U166" s="63"/>
      <c r="V166" s="64">
        <v>0</v>
      </c>
      <c r="W166" s="64"/>
      <c r="X166" s="200">
        <v>0</v>
      </c>
      <c r="Y166" s="155"/>
      <c r="Z166" s="63"/>
      <c r="AA166" s="64">
        <v>0</v>
      </c>
      <c r="AB166" s="64"/>
      <c r="AC166" s="200">
        <v>0</v>
      </c>
      <c r="AD166" s="156"/>
      <c r="AE166" s="153"/>
      <c r="AF166" s="140">
        <v>1</v>
      </c>
      <c r="AG166" s="140"/>
      <c r="AH166" s="200">
        <v>2.3E-3</v>
      </c>
      <c r="AI166" s="140"/>
      <c r="AJ166" s="153"/>
      <c r="AK166" s="140">
        <v>0</v>
      </c>
      <c r="AL166" s="140"/>
      <c r="AM166" s="200">
        <v>0</v>
      </c>
      <c r="AN166" s="156"/>
      <c r="AO166" s="230">
        <v>2.3E-3</v>
      </c>
      <c r="AP166" s="223">
        <v>177</v>
      </c>
      <c r="AQ166" s="223">
        <v>154</v>
      </c>
      <c r="AR166" s="235">
        <v>0.87</v>
      </c>
      <c r="AS166" s="223">
        <v>131</v>
      </c>
      <c r="AT166" s="235">
        <v>0.74</v>
      </c>
      <c r="AU166" s="223">
        <v>130</v>
      </c>
      <c r="AV166" s="232">
        <v>0.73399999999999999</v>
      </c>
      <c r="AW166" s="223">
        <v>97</v>
      </c>
      <c r="AX166" s="223">
        <v>91</v>
      </c>
      <c r="AY166" s="235">
        <v>0.93799999999999994</v>
      </c>
      <c r="AZ166" s="223">
        <v>87</v>
      </c>
      <c r="BA166" s="235">
        <v>0.89700000000000002</v>
      </c>
      <c r="BB166" s="223">
        <v>87</v>
      </c>
      <c r="BC166" s="232">
        <v>0.89700000000000002</v>
      </c>
    </row>
    <row r="167" spans="1:55" x14ac:dyDescent="0.25">
      <c r="A167" s="226">
        <v>1</v>
      </c>
      <c r="B167" s="211" t="s">
        <v>117</v>
      </c>
      <c r="C167" s="211">
        <v>612</v>
      </c>
      <c r="D167" s="211" t="s">
        <v>343</v>
      </c>
      <c r="E167" s="211">
        <v>2304</v>
      </c>
      <c r="F167" s="211">
        <v>2393</v>
      </c>
      <c r="G167" s="211"/>
      <c r="H167" s="220" t="str">
        <f>HYPERLINK("https://map.geo.admin.ch/?zoom=7&amp;E=613900&amp;N=192000&amp;layers=ch.kantone.cadastralwebmap-farbe,ch.swisstopo.amtliches-strassenverzeichnis,ch.bfs.gebaeude_wohnungs_register,KML||https://tinyurl.com/yy7ya4g9/BE/0612_bdg_erw.kml","KML building")</f>
        <v>KML building</v>
      </c>
      <c r="I167" s="154">
        <v>0</v>
      </c>
      <c r="J167" s="243" t="s">
        <v>1128</v>
      </c>
      <c r="K167" s="153">
        <v>0</v>
      </c>
      <c r="L167" s="64">
        <v>0</v>
      </c>
      <c r="M167" s="64"/>
      <c r="N167" s="200">
        <v>0</v>
      </c>
      <c r="O167" s="155"/>
      <c r="P167" s="63"/>
      <c r="Q167" s="64">
        <v>0</v>
      </c>
      <c r="R167" s="64"/>
      <c r="S167" s="200">
        <v>0</v>
      </c>
      <c r="T167" s="155"/>
      <c r="U167" s="63"/>
      <c r="V167" s="64">
        <v>0</v>
      </c>
      <c r="W167" s="64"/>
      <c r="X167" s="200">
        <v>0</v>
      </c>
      <c r="Y167" s="155"/>
      <c r="Z167" s="63"/>
      <c r="AA167" s="64">
        <v>0</v>
      </c>
      <c r="AB167" s="64"/>
      <c r="AC167" s="200">
        <v>0</v>
      </c>
      <c r="AD167" s="156"/>
      <c r="AE167" s="153"/>
      <c r="AF167" s="140">
        <v>0</v>
      </c>
      <c r="AG167" s="140"/>
      <c r="AH167" s="200">
        <v>0</v>
      </c>
      <c r="AI167" s="140"/>
      <c r="AJ167" s="153"/>
      <c r="AK167" s="140">
        <v>0</v>
      </c>
      <c r="AL167" s="140"/>
      <c r="AM167" s="200">
        <v>0</v>
      </c>
      <c r="AN167" s="156"/>
      <c r="AO167" s="230">
        <v>0</v>
      </c>
      <c r="AP167" s="223">
        <v>1008</v>
      </c>
      <c r="AQ167" s="223">
        <v>820</v>
      </c>
      <c r="AR167" s="235">
        <v>0.81299999999999994</v>
      </c>
      <c r="AS167" s="223">
        <v>717</v>
      </c>
      <c r="AT167" s="235">
        <v>0.71099999999999997</v>
      </c>
      <c r="AU167" s="223">
        <v>692</v>
      </c>
      <c r="AV167" s="232">
        <v>0.68700000000000006</v>
      </c>
      <c r="AW167" s="223">
        <v>538</v>
      </c>
      <c r="AX167" s="223">
        <v>521</v>
      </c>
      <c r="AY167" s="235">
        <v>0.96799999999999997</v>
      </c>
      <c r="AZ167" s="223">
        <v>462</v>
      </c>
      <c r="BA167" s="235">
        <v>0.85899999999999999</v>
      </c>
      <c r="BB167" s="223">
        <v>458</v>
      </c>
      <c r="BC167" s="232">
        <v>0.85099999999999998</v>
      </c>
    </row>
    <row r="168" spans="1:55" x14ac:dyDescent="0.25">
      <c r="A168" s="226">
        <v>1</v>
      </c>
      <c r="B168" s="211" t="s">
        <v>117</v>
      </c>
      <c r="C168" s="211">
        <v>613</v>
      </c>
      <c r="D168" s="211" t="s">
        <v>344</v>
      </c>
      <c r="E168" s="211">
        <v>543</v>
      </c>
      <c r="F168" s="211">
        <v>543</v>
      </c>
      <c r="G168" s="211"/>
      <c r="H168" s="220" t="str">
        <f>HYPERLINK("https://map.geo.admin.ch/?zoom=7&amp;E=618300&amp;N=200800&amp;layers=ch.kantone.cadastralwebmap-farbe,ch.swisstopo.amtliches-strassenverzeichnis,ch.bfs.gebaeude_wohnungs_register,KML||https://tinyurl.com/yy7ya4g9/BE/0613_bdg_erw.kml","KML building")</f>
        <v>KML building</v>
      </c>
      <c r="I168" s="154">
        <v>0</v>
      </c>
      <c r="J168" s="243" t="s">
        <v>1129</v>
      </c>
      <c r="K168" s="153">
        <v>0</v>
      </c>
      <c r="L168" s="64">
        <v>0</v>
      </c>
      <c r="M168" s="64"/>
      <c r="N168" s="200">
        <v>0</v>
      </c>
      <c r="O168" s="155"/>
      <c r="P168" s="63"/>
      <c r="Q168" s="64">
        <v>0</v>
      </c>
      <c r="R168" s="64"/>
      <c r="S168" s="200">
        <v>0</v>
      </c>
      <c r="T168" s="155"/>
      <c r="U168" s="63"/>
      <c r="V168" s="64">
        <v>0</v>
      </c>
      <c r="W168" s="64"/>
      <c r="X168" s="200">
        <v>0</v>
      </c>
      <c r="Y168" s="155"/>
      <c r="Z168" s="63"/>
      <c r="AA168" s="64">
        <v>0</v>
      </c>
      <c r="AB168" s="64"/>
      <c r="AC168" s="200">
        <v>0</v>
      </c>
      <c r="AD168" s="156"/>
      <c r="AE168" s="153"/>
      <c r="AF168" s="140">
        <v>0</v>
      </c>
      <c r="AG168" s="140"/>
      <c r="AH168" s="200">
        <v>0</v>
      </c>
      <c r="AI168" s="140"/>
      <c r="AJ168" s="153"/>
      <c r="AK168" s="140">
        <v>0</v>
      </c>
      <c r="AL168" s="140"/>
      <c r="AM168" s="200">
        <v>0</v>
      </c>
      <c r="AN168" s="156"/>
      <c r="AO168" s="230">
        <v>0</v>
      </c>
      <c r="AP168" s="223">
        <v>295</v>
      </c>
      <c r="AQ168" s="223">
        <v>268</v>
      </c>
      <c r="AR168" s="235">
        <v>0.90800000000000003</v>
      </c>
      <c r="AS168" s="223">
        <v>227</v>
      </c>
      <c r="AT168" s="235">
        <v>0.76900000000000002</v>
      </c>
      <c r="AU168" s="223">
        <v>222</v>
      </c>
      <c r="AV168" s="232">
        <v>0.753</v>
      </c>
      <c r="AW168" s="223">
        <v>159</v>
      </c>
      <c r="AX168" s="223">
        <v>155</v>
      </c>
      <c r="AY168" s="235">
        <v>0.97499999999999998</v>
      </c>
      <c r="AZ168" s="223">
        <v>146</v>
      </c>
      <c r="BA168" s="235">
        <v>0.91800000000000004</v>
      </c>
      <c r="BB168" s="223">
        <v>144</v>
      </c>
      <c r="BC168" s="232">
        <v>0.90600000000000003</v>
      </c>
    </row>
    <row r="169" spans="1:55" x14ac:dyDescent="0.25">
      <c r="A169" s="226">
        <v>1</v>
      </c>
      <c r="B169" s="211" t="s">
        <v>117</v>
      </c>
      <c r="C169" s="211">
        <v>614</v>
      </c>
      <c r="D169" s="211" t="s">
        <v>345</v>
      </c>
      <c r="E169" s="211">
        <v>1147</v>
      </c>
      <c r="F169" s="211">
        <v>1147</v>
      </c>
      <c r="G169" s="211"/>
      <c r="H169" s="220" t="str">
        <f>HYPERLINK("https://map.geo.admin.ch/?zoom=7&amp;E=618300&amp;N=188500&amp;layers=ch.kantone.cadastralwebmap-farbe,ch.swisstopo.amtliches-strassenverzeichnis,ch.bfs.gebaeude_wohnungs_register,KML||https://tinyurl.com/yy7ya4g9/BE/0614_bdg_erw.kml","KML building")</f>
        <v>KML building</v>
      </c>
      <c r="I169" s="154">
        <v>0</v>
      </c>
      <c r="J169" s="243" t="s">
        <v>1130</v>
      </c>
      <c r="K169" s="153">
        <v>0</v>
      </c>
      <c r="L169" s="64">
        <v>0</v>
      </c>
      <c r="M169" s="64"/>
      <c r="N169" s="200">
        <v>0</v>
      </c>
      <c r="O169" s="155"/>
      <c r="P169" s="63"/>
      <c r="Q169" s="64">
        <v>0</v>
      </c>
      <c r="R169" s="64"/>
      <c r="S169" s="200">
        <v>0</v>
      </c>
      <c r="T169" s="155"/>
      <c r="U169" s="63"/>
      <c r="V169" s="64">
        <v>0</v>
      </c>
      <c r="W169" s="64"/>
      <c r="X169" s="200">
        <v>0</v>
      </c>
      <c r="Y169" s="155"/>
      <c r="Z169" s="63"/>
      <c r="AA169" s="64">
        <v>0</v>
      </c>
      <c r="AB169" s="64"/>
      <c r="AC169" s="200">
        <v>0</v>
      </c>
      <c r="AD169" s="156"/>
      <c r="AE169" s="153"/>
      <c r="AF169" s="140">
        <v>1</v>
      </c>
      <c r="AG169" s="140"/>
      <c r="AH169" s="200">
        <v>8.9999999999999998E-4</v>
      </c>
      <c r="AI169" s="140"/>
      <c r="AJ169" s="153"/>
      <c r="AK169" s="140">
        <v>0</v>
      </c>
      <c r="AL169" s="140"/>
      <c r="AM169" s="200">
        <v>0</v>
      </c>
      <c r="AN169" s="156"/>
      <c r="AO169" s="230">
        <v>8.9999999999999998E-4</v>
      </c>
      <c r="AP169" s="223">
        <v>708</v>
      </c>
      <c r="AQ169" s="223">
        <v>569</v>
      </c>
      <c r="AR169" s="235">
        <v>0.80400000000000005</v>
      </c>
      <c r="AS169" s="223">
        <v>479</v>
      </c>
      <c r="AT169" s="235">
        <v>0.67700000000000005</v>
      </c>
      <c r="AU169" s="223">
        <v>470</v>
      </c>
      <c r="AV169" s="232">
        <v>0.66400000000000003</v>
      </c>
      <c r="AW169" s="223">
        <v>349</v>
      </c>
      <c r="AX169" s="223">
        <v>343</v>
      </c>
      <c r="AY169" s="235">
        <v>0.98299999999999998</v>
      </c>
      <c r="AZ169" s="223">
        <v>325</v>
      </c>
      <c r="BA169" s="235">
        <v>0.93100000000000005</v>
      </c>
      <c r="BB169" s="223">
        <v>325</v>
      </c>
      <c r="BC169" s="232">
        <v>0.93100000000000005</v>
      </c>
    </row>
    <row r="170" spans="1:55" x14ac:dyDescent="0.25">
      <c r="A170" s="226">
        <v>1</v>
      </c>
      <c r="B170" s="211" t="s">
        <v>117</v>
      </c>
      <c r="C170" s="211">
        <v>615</v>
      </c>
      <c r="D170" s="211" t="s">
        <v>346</v>
      </c>
      <c r="E170" s="211">
        <v>364</v>
      </c>
      <c r="F170" s="211">
        <v>364</v>
      </c>
      <c r="G170" s="211"/>
      <c r="H170" s="220" t="str">
        <f>HYPERLINK("https://map.geo.admin.ch/?zoom=7&amp;E=615900&amp;N=193800&amp;layers=ch.kantone.cadastralwebmap-farbe,ch.swisstopo.amtliches-strassenverzeichnis,ch.bfs.gebaeude_wohnungs_register,KML||https://tinyurl.com/yy7ya4g9/BE/0615_bdg_erw.kml","KML building")</f>
        <v>KML building</v>
      </c>
      <c r="I170" s="154">
        <v>0</v>
      </c>
      <c r="J170" s="243" t="s">
        <v>1131</v>
      </c>
      <c r="K170" s="153">
        <v>0</v>
      </c>
      <c r="L170" s="64">
        <v>0</v>
      </c>
      <c r="M170" s="64"/>
      <c r="N170" s="200">
        <v>0</v>
      </c>
      <c r="O170" s="155"/>
      <c r="P170" s="63"/>
      <c r="Q170" s="64">
        <v>0</v>
      </c>
      <c r="R170" s="64"/>
      <c r="S170" s="200">
        <v>0</v>
      </c>
      <c r="T170" s="155"/>
      <c r="U170" s="63"/>
      <c r="V170" s="64">
        <v>0</v>
      </c>
      <c r="W170" s="64"/>
      <c r="X170" s="200">
        <v>0</v>
      </c>
      <c r="Y170" s="155"/>
      <c r="Z170" s="63"/>
      <c r="AA170" s="64">
        <v>0</v>
      </c>
      <c r="AB170" s="64"/>
      <c r="AC170" s="200">
        <v>0</v>
      </c>
      <c r="AD170" s="156"/>
      <c r="AE170" s="153"/>
      <c r="AF170" s="140">
        <v>0</v>
      </c>
      <c r="AG170" s="140"/>
      <c r="AH170" s="200">
        <v>0</v>
      </c>
      <c r="AI170" s="140"/>
      <c r="AJ170" s="153"/>
      <c r="AK170" s="140">
        <v>0</v>
      </c>
      <c r="AL170" s="140"/>
      <c r="AM170" s="200">
        <v>0</v>
      </c>
      <c r="AN170" s="156"/>
      <c r="AO170" s="230">
        <v>0</v>
      </c>
      <c r="AP170" s="223">
        <v>153</v>
      </c>
      <c r="AQ170" s="223">
        <v>144</v>
      </c>
      <c r="AR170" s="235">
        <v>0.94099999999999995</v>
      </c>
      <c r="AS170" s="223">
        <v>118</v>
      </c>
      <c r="AT170" s="235">
        <v>0.77100000000000002</v>
      </c>
      <c r="AU170" s="223">
        <v>118</v>
      </c>
      <c r="AV170" s="232">
        <v>0.77100000000000002</v>
      </c>
      <c r="AW170" s="223">
        <v>94</v>
      </c>
      <c r="AX170" s="223">
        <v>93</v>
      </c>
      <c r="AY170" s="235">
        <v>0.98899999999999999</v>
      </c>
      <c r="AZ170" s="223">
        <v>82</v>
      </c>
      <c r="BA170" s="235">
        <v>0.872</v>
      </c>
      <c r="BB170" s="223">
        <v>82</v>
      </c>
      <c r="BC170" s="232">
        <v>0.872</v>
      </c>
    </row>
    <row r="171" spans="1:55" x14ac:dyDescent="0.25">
      <c r="A171" s="226">
        <v>1</v>
      </c>
      <c r="B171" s="211" t="s">
        <v>117</v>
      </c>
      <c r="C171" s="211">
        <v>616</v>
      </c>
      <c r="D171" s="211" t="s">
        <v>347</v>
      </c>
      <c r="E171" s="211">
        <v>3978</v>
      </c>
      <c r="F171" s="211">
        <v>4086</v>
      </c>
      <c r="G171" s="211"/>
      <c r="H171" s="220" t="str">
        <f>HYPERLINK("https://map.geo.admin.ch/?zoom=7&amp;E=609400&amp;N=191500&amp;layers=ch.kantone.cadastralwebmap-farbe,ch.swisstopo.amtliches-strassenverzeichnis,ch.bfs.gebaeude_wohnungs_register,KML||https://tinyurl.com/yy7ya4g9/BE/0616_bdg_erw.kml","KML building")</f>
        <v>KML building</v>
      </c>
      <c r="I171" s="154">
        <v>0</v>
      </c>
      <c r="J171" s="243" t="s">
        <v>1132</v>
      </c>
      <c r="K171" s="153">
        <v>0</v>
      </c>
      <c r="L171" s="64">
        <v>0</v>
      </c>
      <c r="M171" s="64"/>
      <c r="N171" s="200">
        <v>0</v>
      </c>
      <c r="O171" s="155"/>
      <c r="P171" s="63"/>
      <c r="Q171" s="64">
        <v>0</v>
      </c>
      <c r="R171" s="64"/>
      <c r="S171" s="200">
        <v>0</v>
      </c>
      <c r="T171" s="155"/>
      <c r="U171" s="63"/>
      <c r="V171" s="64">
        <v>0</v>
      </c>
      <c r="W171" s="64"/>
      <c r="X171" s="200">
        <v>0</v>
      </c>
      <c r="Y171" s="155"/>
      <c r="Z171" s="63"/>
      <c r="AA171" s="64">
        <v>0</v>
      </c>
      <c r="AB171" s="64"/>
      <c r="AC171" s="200">
        <v>0</v>
      </c>
      <c r="AD171" s="156"/>
      <c r="AE171" s="153"/>
      <c r="AF171" s="140">
        <v>12</v>
      </c>
      <c r="AG171" s="140"/>
      <c r="AH171" s="200">
        <v>3.0000000000000001E-3</v>
      </c>
      <c r="AI171" s="140"/>
      <c r="AJ171" s="153"/>
      <c r="AK171" s="140">
        <v>5</v>
      </c>
      <c r="AL171" s="140"/>
      <c r="AM171" s="200">
        <v>1.2999999999999999E-3</v>
      </c>
      <c r="AN171" s="156"/>
      <c r="AO171" s="230">
        <v>4.3E-3</v>
      </c>
      <c r="AP171" s="223">
        <v>1208</v>
      </c>
      <c r="AQ171" s="223">
        <v>990</v>
      </c>
      <c r="AR171" s="235">
        <v>0.82</v>
      </c>
      <c r="AS171" s="223">
        <v>949</v>
      </c>
      <c r="AT171" s="235">
        <v>0.78600000000000003</v>
      </c>
      <c r="AU171" s="223">
        <v>903</v>
      </c>
      <c r="AV171" s="232">
        <v>0.748</v>
      </c>
      <c r="AW171" s="223">
        <v>619</v>
      </c>
      <c r="AX171" s="223">
        <v>581</v>
      </c>
      <c r="AY171" s="235">
        <v>0.93899999999999995</v>
      </c>
      <c r="AZ171" s="223">
        <v>551</v>
      </c>
      <c r="BA171" s="235">
        <v>0.89</v>
      </c>
      <c r="BB171" s="223">
        <v>534</v>
      </c>
      <c r="BC171" s="232">
        <v>0.86299999999999999</v>
      </c>
    </row>
    <row r="172" spans="1:55" x14ac:dyDescent="0.25">
      <c r="A172" s="226">
        <v>1</v>
      </c>
      <c r="B172" s="211" t="s">
        <v>117</v>
      </c>
      <c r="C172" s="211">
        <v>617</v>
      </c>
      <c r="D172" s="211" t="s">
        <v>348</v>
      </c>
      <c r="E172" s="211">
        <v>359</v>
      </c>
      <c r="F172" s="211">
        <v>360</v>
      </c>
      <c r="G172" s="211"/>
      <c r="H172" s="220" t="str">
        <f>HYPERLINK("https://map.geo.admin.ch/?zoom=7&amp;E=615200&amp;N=191800&amp;layers=ch.kantone.cadastralwebmap-farbe,ch.swisstopo.amtliches-strassenverzeichnis,ch.bfs.gebaeude_wohnungs_register,KML||https://tinyurl.com/yy7ya4g9/BE/0617_bdg_erw.kml","KML building")</f>
        <v>KML building</v>
      </c>
      <c r="I172" s="154">
        <v>2</v>
      </c>
      <c r="J172" s="243" t="s">
        <v>1133</v>
      </c>
      <c r="K172" s="153">
        <v>5.5710306406685237E-3</v>
      </c>
      <c r="L172" s="64">
        <v>0</v>
      </c>
      <c r="M172" s="64"/>
      <c r="N172" s="200">
        <v>0</v>
      </c>
      <c r="O172" s="155"/>
      <c r="P172" s="63"/>
      <c r="Q172" s="64">
        <v>0</v>
      </c>
      <c r="R172" s="64"/>
      <c r="S172" s="200">
        <v>0</v>
      </c>
      <c r="T172" s="155"/>
      <c r="U172" s="63"/>
      <c r="V172" s="64">
        <v>0</v>
      </c>
      <c r="W172" s="64"/>
      <c r="X172" s="200">
        <v>0</v>
      </c>
      <c r="Y172" s="155"/>
      <c r="Z172" s="63"/>
      <c r="AA172" s="64">
        <v>0</v>
      </c>
      <c r="AB172" s="64"/>
      <c r="AC172" s="200">
        <v>0</v>
      </c>
      <c r="AD172" s="156"/>
      <c r="AE172" s="153"/>
      <c r="AF172" s="140">
        <v>1</v>
      </c>
      <c r="AG172" s="140"/>
      <c r="AH172" s="200">
        <v>2.8E-3</v>
      </c>
      <c r="AI172" s="140"/>
      <c r="AJ172" s="153"/>
      <c r="AK172" s="140">
        <v>0</v>
      </c>
      <c r="AL172" s="140"/>
      <c r="AM172" s="200">
        <v>0</v>
      </c>
      <c r="AN172" s="156"/>
      <c r="AO172" s="230">
        <v>2.8E-3</v>
      </c>
      <c r="AP172" s="223">
        <v>181</v>
      </c>
      <c r="AQ172" s="223">
        <v>179</v>
      </c>
      <c r="AR172" s="235">
        <v>0.98899999999999999</v>
      </c>
      <c r="AS172" s="223">
        <v>147</v>
      </c>
      <c r="AT172" s="235">
        <v>0.81200000000000006</v>
      </c>
      <c r="AU172" s="223">
        <v>145</v>
      </c>
      <c r="AV172" s="232">
        <v>0.80100000000000005</v>
      </c>
      <c r="AW172" s="223">
        <v>79</v>
      </c>
      <c r="AX172" s="223">
        <v>78</v>
      </c>
      <c r="AY172" s="235">
        <v>0.98699999999999999</v>
      </c>
      <c r="AZ172" s="223">
        <v>78</v>
      </c>
      <c r="BA172" s="235">
        <v>0.98699999999999999</v>
      </c>
      <c r="BB172" s="223">
        <v>77</v>
      </c>
      <c r="BC172" s="232">
        <v>0.97499999999999998</v>
      </c>
    </row>
    <row r="173" spans="1:55" x14ac:dyDescent="0.25">
      <c r="A173" s="226">
        <v>1</v>
      </c>
      <c r="B173" s="211" t="s">
        <v>117</v>
      </c>
      <c r="C173" s="211">
        <v>619</v>
      </c>
      <c r="D173" s="211" t="s">
        <v>349</v>
      </c>
      <c r="E173" s="211">
        <v>2030</v>
      </c>
      <c r="F173" s="211">
        <v>2041</v>
      </c>
      <c r="G173" s="211"/>
      <c r="H173" s="220" t="str">
        <f>HYPERLINK("https://map.geo.admin.ch/?zoom=7&amp;E=613800&amp;N=187700&amp;layers=ch.kantone.cadastralwebmap-farbe,ch.swisstopo.amtliches-strassenverzeichnis,ch.bfs.gebaeude_wohnungs_register,KML||https://tinyurl.com/yy7ya4g9/BE/0619_bdg_erw.kml","KML building")</f>
        <v>KML building</v>
      </c>
      <c r="I173" s="154">
        <v>6</v>
      </c>
      <c r="J173" s="243" t="s">
        <v>1134</v>
      </c>
      <c r="K173" s="153">
        <v>2.9556650246305421E-3</v>
      </c>
      <c r="L173" s="64">
        <v>0</v>
      </c>
      <c r="M173" s="64"/>
      <c r="N173" s="200">
        <v>0</v>
      </c>
      <c r="O173" s="155"/>
      <c r="P173" s="63"/>
      <c r="Q173" s="64">
        <v>0</v>
      </c>
      <c r="R173" s="64"/>
      <c r="S173" s="200">
        <v>0</v>
      </c>
      <c r="T173" s="155"/>
      <c r="U173" s="63"/>
      <c r="V173" s="64">
        <v>0</v>
      </c>
      <c r="W173" s="64"/>
      <c r="X173" s="200">
        <v>0</v>
      </c>
      <c r="Y173" s="155"/>
      <c r="Z173" s="63"/>
      <c r="AA173" s="64">
        <v>0</v>
      </c>
      <c r="AB173" s="64"/>
      <c r="AC173" s="200">
        <v>0</v>
      </c>
      <c r="AD173" s="156"/>
      <c r="AE173" s="153"/>
      <c r="AF173" s="140">
        <v>5</v>
      </c>
      <c r="AG173" s="140"/>
      <c r="AH173" s="200">
        <v>2.5000000000000001E-3</v>
      </c>
      <c r="AI173" s="140"/>
      <c r="AJ173" s="153"/>
      <c r="AK173" s="140">
        <v>1</v>
      </c>
      <c r="AL173" s="140"/>
      <c r="AM173" s="200">
        <v>5.0000000000000001E-4</v>
      </c>
      <c r="AN173" s="156"/>
      <c r="AO173" s="230">
        <v>3.0000000000000001E-3</v>
      </c>
      <c r="AP173" s="223">
        <v>939</v>
      </c>
      <c r="AQ173" s="223">
        <v>797</v>
      </c>
      <c r="AR173" s="235">
        <v>0.84899999999999998</v>
      </c>
      <c r="AS173" s="223">
        <v>648</v>
      </c>
      <c r="AT173" s="235">
        <v>0.69</v>
      </c>
      <c r="AU173" s="223">
        <v>642</v>
      </c>
      <c r="AV173" s="232">
        <v>0.68400000000000005</v>
      </c>
      <c r="AW173" s="223">
        <v>438</v>
      </c>
      <c r="AX173" s="223">
        <v>425</v>
      </c>
      <c r="AY173" s="235">
        <v>0.97</v>
      </c>
      <c r="AZ173" s="223">
        <v>382</v>
      </c>
      <c r="BA173" s="235">
        <v>0.872</v>
      </c>
      <c r="BB173" s="223">
        <v>381</v>
      </c>
      <c r="BC173" s="232">
        <v>0.87</v>
      </c>
    </row>
    <row r="174" spans="1:55" x14ac:dyDescent="0.25">
      <c r="A174" s="226">
        <v>1</v>
      </c>
      <c r="B174" s="211" t="s">
        <v>117</v>
      </c>
      <c r="C174" s="211">
        <v>620</v>
      </c>
      <c r="D174" s="211" t="s">
        <v>350</v>
      </c>
      <c r="E174" s="211">
        <v>594</v>
      </c>
      <c r="F174" s="211">
        <v>595</v>
      </c>
      <c r="G174" s="211"/>
      <c r="H174" s="220" t="str">
        <f>HYPERLINK("https://map.geo.admin.ch/?zoom=7&amp;E=617900&amp;N=196100&amp;layers=ch.kantone.cadastralwebmap-farbe,ch.swisstopo.amtliches-strassenverzeichnis,ch.bfs.gebaeude_wohnungs_register,KML||https://tinyurl.com/yy7ya4g9/BE/0620_bdg_erw.kml","KML building")</f>
        <v>KML building</v>
      </c>
      <c r="I174" s="154">
        <v>2</v>
      </c>
      <c r="J174" s="243" t="s">
        <v>1135</v>
      </c>
      <c r="K174" s="153">
        <v>3.3670033670033669E-3</v>
      </c>
      <c r="L174" s="64">
        <v>0</v>
      </c>
      <c r="M174" s="64"/>
      <c r="N174" s="200">
        <v>0</v>
      </c>
      <c r="O174" s="155"/>
      <c r="P174" s="63"/>
      <c r="Q174" s="64">
        <v>0</v>
      </c>
      <c r="R174" s="64"/>
      <c r="S174" s="200">
        <v>0</v>
      </c>
      <c r="T174" s="155"/>
      <c r="U174" s="63"/>
      <c r="V174" s="64">
        <v>0</v>
      </c>
      <c r="W174" s="64"/>
      <c r="X174" s="200">
        <v>0</v>
      </c>
      <c r="Y174" s="155"/>
      <c r="Z174" s="63"/>
      <c r="AA174" s="64">
        <v>0</v>
      </c>
      <c r="AB174" s="64"/>
      <c r="AC174" s="200">
        <v>0</v>
      </c>
      <c r="AD174" s="156"/>
      <c r="AE174" s="153"/>
      <c r="AF174" s="140">
        <v>3</v>
      </c>
      <c r="AG174" s="140"/>
      <c r="AH174" s="200">
        <v>5.1000000000000004E-3</v>
      </c>
      <c r="AI174" s="140"/>
      <c r="AJ174" s="153"/>
      <c r="AK174" s="140">
        <v>1</v>
      </c>
      <c r="AL174" s="140"/>
      <c r="AM174" s="200">
        <v>1.6999999999999999E-3</v>
      </c>
      <c r="AN174" s="156"/>
      <c r="AO174" s="230">
        <v>6.8000000000000005E-3</v>
      </c>
      <c r="AP174" s="223">
        <v>335</v>
      </c>
      <c r="AQ174" s="223">
        <v>277</v>
      </c>
      <c r="AR174" s="235">
        <v>0.82699999999999996</v>
      </c>
      <c r="AS174" s="223">
        <v>266</v>
      </c>
      <c r="AT174" s="235">
        <v>0.79400000000000004</v>
      </c>
      <c r="AU174" s="223">
        <v>256</v>
      </c>
      <c r="AV174" s="232">
        <v>0.76400000000000001</v>
      </c>
      <c r="AW174" s="223">
        <v>206</v>
      </c>
      <c r="AX174" s="223">
        <v>193</v>
      </c>
      <c r="AY174" s="235">
        <v>0.93700000000000006</v>
      </c>
      <c r="AZ174" s="223">
        <v>192</v>
      </c>
      <c r="BA174" s="235">
        <v>0.93200000000000005</v>
      </c>
      <c r="BB174" s="223">
        <v>187</v>
      </c>
      <c r="BC174" s="232">
        <v>0.90800000000000003</v>
      </c>
    </row>
    <row r="175" spans="1:55" x14ac:dyDescent="0.25">
      <c r="A175" s="226">
        <v>1</v>
      </c>
      <c r="B175" s="211" t="s">
        <v>117</v>
      </c>
      <c r="C175" s="211">
        <v>622</v>
      </c>
      <c r="D175" s="211" t="s">
        <v>351</v>
      </c>
      <c r="E175" s="211">
        <v>358</v>
      </c>
      <c r="F175" s="211">
        <v>358</v>
      </c>
      <c r="G175" s="211"/>
      <c r="H175" s="220" t="str">
        <f>HYPERLINK("https://map.geo.admin.ch/?zoom=7&amp;E=612200&amp;N=185600&amp;layers=ch.kantone.cadastralwebmap-farbe,ch.swisstopo.amtliches-strassenverzeichnis,ch.bfs.gebaeude_wohnungs_register,KML||https://tinyurl.com/yy7ya4g9/BE/0622_bdg_erw.kml","KML building")</f>
        <v>KML building</v>
      </c>
      <c r="I175" s="154">
        <v>1</v>
      </c>
      <c r="J175" s="243" t="s">
        <v>1136</v>
      </c>
      <c r="K175" s="153">
        <v>2.7932960893854749E-3</v>
      </c>
      <c r="L175" s="64">
        <v>0</v>
      </c>
      <c r="M175" s="64"/>
      <c r="N175" s="200">
        <v>0</v>
      </c>
      <c r="O175" s="155"/>
      <c r="P175" s="63"/>
      <c r="Q175" s="64">
        <v>0</v>
      </c>
      <c r="R175" s="64"/>
      <c r="S175" s="200">
        <v>0</v>
      </c>
      <c r="T175" s="155"/>
      <c r="U175" s="63"/>
      <c r="V175" s="64">
        <v>0</v>
      </c>
      <c r="W175" s="64"/>
      <c r="X175" s="200">
        <v>0</v>
      </c>
      <c r="Y175" s="155"/>
      <c r="Z175" s="63"/>
      <c r="AA175" s="64">
        <v>0</v>
      </c>
      <c r="AB175" s="64"/>
      <c r="AC175" s="200">
        <v>0</v>
      </c>
      <c r="AD175" s="156"/>
      <c r="AE175" s="153"/>
      <c r="AF175" s="140">
        <v>1</v>
      </c>
      <c r="AG175" s="140"/>
      <c r="AH175" s="200">
        <v>2.8E-3</v>
      </c>
      <c r="AI175" s="140"/>
      <c r="AJ175" s="153"/>
      <c r="AK175" s="140">
        <v>0</v>
      </c>
      <c r="AL175" s="140"/>
      <c r="AM175" s="200">
        <v>0</v>
      </c>
      <c r="AN175" s="156"/>
      <c r="AO175" s="230">
        <v>2.8E-3</v>
      </c>
      <c r="AP175" s="223">
        <v>173</v>
      </c>
      <c r="AQ175" s="223">
        <v>168</v>
      </c>
      <c r="AR175" s="235">
        <v>0.97099999999999997</v>
      </c>
      <c r="AS175" s="223">
        <v>138</v>
      </c>
      <c r="AT175" s="235">
        <v>0.79800000000000004</v>
      </c>
      <c r="AU175" s="223">
        <v>135</v>
      </c>
      <c r="AV175" s="232">
        <v>0.78</v>
      </c>
      <c r="AW175" s="223">
        <v>98</v>
      </c>
      <c r="AX175" s="223">
        <v>94</v>
      </c>
      <c r="AY175" s="235">
        <v>0.95899999999999996</v>
      </c>
      <c r="AZ175" s="223">
        <v>89</v>
      </c>
      <c r="BA175" s="235">
        <v>0.90800000000000003</v>
      </c>
      <c r="BB175" s="223">
        <v>86</v>
      </c>
      <c r="BC175" s="232">
        <v>0.878</v>
      </c>
    </row>
    <row r="176" spans="1:55" x14ac:dyDescent="0.25">
      <c r="A176" s="226">
        <v>1</v>
      </c>
      <c r="B176" s="211" t="s">
        <v>117</v>
      </c>
      <c r="C176" s="211">
        <v>623</v>
      </c>
      <c r="D176" s="211" t="s">
        <v>352</v>
      </c>
      <c r="E176" s="211">
        <v>1251</v>
      </c>
      <c r="F176" s="211">
        <v>1262</v>
      </c>
      <c r="G176" s="211"/>
      <c r="H176" s="220" t="str">
        <f>HYPERLINK("https://map.geo.admin.ch/?zoom=7&amp;E=608200&amp;N=194200&amp;layers=ch.kantone.cadastralwebmap-farbe,ch.swisstopo.amtliches-strassenverzeichnis,ch.bfs.gebaeude_wohnungs_register,KML||https://tinyurl.com/yy7ya4g9/BE/0623_bdg_erw.kml","KML building")</f>
        <v>KML building</v>
      </c>
      <c r="I176" s="154">
        <v>0</v>
      </c>
      <c r="J176" s="243" t="s">
        <v>1137</v>
      </c>
      <c r="K176" s="153">
        <v>0</v>
      </c>
      <c r="L176" s="64">
        <v>0</v>
      </c>
      <c r="M176" s="64"/>
      <c r="N176" s="200">
        <v>0</v>
      </c>
      <c r="O176" s="155"/>
      <c r="P176" s="63"/>
      <c r="Q176" s="64">
        <v>0</v>
      </c>
      <c r="R176" s="64"/>
      <c r="S176" s="200">
        <v>0</v>
      </c>
      <c r="T176" s="155"/>
      <c r="U176" s="63"/>
      <c r="V176" s="64">
        <v>0</v>
      </c>
      <c r="W176" s="64"/>
      <c r="X176" s="200">
        <v>0</v>
      </c>
      <c r="Y176" s="155"/>
      <c r="Z176" s="63"/>
      <c r="AA176" s="64">
        <v>0</v>
      </c>
      <c r="AB176" s="64"/>
      <c r="AC176" s="200">
        <v>0</v>
      </c>
      <c r="AD176" s="156"/>
      <c r="AE176" s="153"/>
      <c r="AF176" s="140">
        <v>2</v>
      </c>
      <c r="AG176" s="140"/>
      <c r="AH176" s="200">
        <v>1.6000000000000001E-3</v>
      </c>
      <c r="AI176" s="140"/>
      <c r="AJ176" s="153"/>
      <c r="AK176" s="140">
        <v>1</v>
      </c>
      <c r="AL176" s="140"/>
      <c r="AM176" s="200">
        <v>8.0000000000000004E-4</v>
      </c>
      <c r="AN176" s="156"/>
      <c r="AO176" s="230">
        <v>2.4000000000000002E-3</v>
      </c>
      <c r="AP176" s="223">
        <v>436</v>
      </c>
      <c r="AQ176" s="223">
        <v>350</v>
      </c>
      <c r="AR176" s="235">
        <v>0.80300000000000005</v>
      </c>
      <c r="AS176" s="223">
        <v>326</v>
      </c>
      <c r="AT176" s="235">
        <v>0.748</v>
      </c>
      <c r="AU176" s="223">
        <v>324</v>
      </c>
      <c r="AV176" s="232">
        <v>0.74299999999999999</v>
      </c>
      <c r="AW176" s="223">
        <v>214</v>
      </c>
      <c r="AX176" s="223">
        <v>192</v>
      </c>
      <c r="AY176" s="235">
        <v>0.89700000000000002</v>
      </c>
      <c r="AZ176" s="223">
        <v>175</v>
      </c>
      <c r="BA176" s="235">
        <v>0.81799999999999995</v>
      </c>
      <c r="BB176" s="223">
        <v>173</v>
      </c>
      <c r="BC176" s="232">
        <v>0.80800000000000005</v>
      </c>
    </row>
    <row r="177" spans="1:55" x14ac:dyDescent="0.25">
      <c r="A177" s="226">
        <v>1</v>
      </c>
      <c r="B177" s="211" t="s">
        <v>117</v>
      </c>
      <c r="C177" s="211">
        <v>626</v>
      </c>
      <c r="D177" s="211" t="s">
        <v>353</v>
      </c>
      <c r="E177" s="211">
        <v>1324</v>
      </c>
      <c r="F177" s="211">
        <v>1324</v>
      </c>
      <c r="G177" s="211"/>
      <c r="H177" s="220" t="str">
        <f>HYPERLINK("https://map.geo.admin.ch/?zoom=7&amp;E=613800&amp;N=199500&amp;layers=ch.kantone.cadastralwebmap-farbe,ch.swisstopo.amtliches-strassenverzeichnis,ch.bfs.gebaeude_wohnungs_register,KML||https://tinyurl.com/yy7ya4g9/BE/0626_bdg_erw.kml","KML building")</f>
        <v>KML building</v>
      </c>
      <c r="I177" s="154">
        <v>2</v>
      </c>
      <c r="J177" s="243" t="s">
        <v>1138</v>
      </c>
      <c r="K177" s="153">
        <v>1.5105740181268882E-3</v>
      </c>
      <c r="L177" s="64">
        <v>0</v>
      </c>
      <c r="M177" s="64"/>
      <c r="N177" s="200">
        <v>0</v>
      </c>
      <c r="O177" s="155"/>
      <c r="P177" s="63"/>
      <c r="Q177" s="64">
        <v>0</v>
      </c>
      <c r="R177" s="64"/>
      <c r="S177" s="200">
        <v>0</v>
      </c>
      <c r="T177" s="155"/>
      <c r="U177" s="63"/>
      <c r="V177" s="64">
        <v>0</v>
      </c>
      <c r="W177" s="64"/>
      <c r="X177" s="200">
        <v>0</v>
      </c>
      <c r="Y177" s="155"/>
      <c r="Z177" s="63"/>
      <c r="AA177" s="64">
        <v>0</v>
      </c>
      <c r="AB177" s="64"/>
      <c r="AC177" s="200">
        <v>0</v>
      </c>
      <c r="AD177" s="156"/>
      <c r="AE177" s="153"/>
      <c r="AF177" s="140">
        <v>0</v>
      </c>
      <c r="AG177" s="140"/>
      <c r="AH177" s="200">
        <v>0</v>
      </c>
      <c r="AI177" s="140"/>
      <c r="AJ177" s="153"/>
      <c r="AK177" s="140">
        <v>0</v>
      </c>
      <c r="AL177" s="140"/>
      <c r="AM177" s="200">
        <v>0</v>
      </c>
      <c r="AN177" s="156"/>
      <c r="AO177" s="230">
        <v>0</v>
      </c>
      <c r="AP177" s="223">
        <v>676</v>
      </c>
      <c r="AQ177" s="223">
        <v>559</v>
      </c>
      <c r="AR177" s="235">
        <v>0.82699999999999996</v>
      </c>
      <c r="AS177" s="223">
        <v>479</v>
      </c>
      <c r="AT177" s="235">
        <v>0.70899999999999996</v>
      </c>
      <c r="AU177" s="223">
        <v>470</v>
      </c>
      <c r="AV177" s="232">
        <v>0.69499999999999995</v>
      </c>
      <c r="AW177" s="223">
        <v>368</v>
      </c>
      <c r="AX177" s="223">
        <v>351</v>
      </c>
      <c r="AY177" s="235">
        <v>0.95399999999999996</v>
      </c>
      <c r="AZ177" s="223">
        <v>326</v>
      </c>
      <c r="BA177" s="235">
        <v>0.88600000000000001</v>
      </c>
      <c r="BB177" s="223">
        <v>323</v>
      </c>
      <c r="BC177" s="232">
        <v>0.878</v>
      </c>
    </row>
    <row r="178" spans="1:55" x14ac:dyDescent="0.25">
      <c r="A178" s="226">
        <v>1</v>
      </c>
      <c r="B178" s="211" t="s">
        <v>117</v>
      </c>
      <c r="C178" s="211">
        <v>627</v>
      </c>
      <c r="D178" s="211" t="s">
        <v>354</v>
      </c>
      <c r="E178" s="211">
        <v>3982</v>
      </c>
      <c r="F178" s="211">
        <v>4044</v>
      </c>
      <c r="G178" s="211"/>
      <c r="H178" s="220" t="str">
        <f>HYPERLINK("https://map.geo.admin.ch/?zoom=7&amp;E=609500&amp;N=197600&amp;layers=ch.kantone.cadastralwebmap-farbe,ch.swisstopo.amtliches-strassenverzeichnis,ch.bfs.gebaeude_wohnungs_register,KML||https://tinyurl.com/yy7ya4g9/BE/0627_bdg_erw.kml","KML building")</f>
        <v>KML building</v>
      </c>
      <c r="I178" s="154">
        <v>3</v>
      </c>
      <c r="J178" s="243" t="s">
        <v>1139</v>
      </c>
      <c r="K178" s="153">
        <v>7.5339025615268711E-4</v>
      </c>
      <c r="L178" s="64">
        <v>0</v>
      </c>
      <c r="M178" s="64"/>
      <c r="N178" s="200">
        <v>0</v>
      </c>
      <c r="O178" s="155"/>
      <c r="P178" s="63"/>
      <c r="Q178" s="64">
        <v>0</v>
      </c>
      <c r="R178" s="64"/>
      <c r="S178" s="200">
        <v>0</v>
      </c>
      <c r="T178" s="155"/>
      <c r="U178" s="63"/>
      <c r="V178" s="64">
        <v>0</v>
      </c>
      <c r="W178" s="64"/>
      <c r="X178" s="200">
        <v>0</v>
      </c>
      <c r="Y178" s="155"/>
      <c r="Z178" s="63"/>
      <c r="AA178" s="64">
        <v>8</v>
      </c>
      <c r="AB178" s="64"/>
      <c r="AC178" s="200">
        <v>2E-3</v>
      </c>
      <c r="AD178" s="156"/>
      <c r="AE178" s="153"/>
      <c r="AF178" s="140">
        <v>6</v>
      </c>
      <c r="AG178" s="140"/>
      <c r="AH178" s="200">
        <v>1.5E-3</v>
      </c>
      <c r="AI178" s="140"/>
      <c r="AJ178" s="153"/>
      <c r="AK178" s="140">
        <v>0</v>
      </c>
      <c r="AL178" s="140"/>
      <c r="AM178" s="200">
        <v>0</v>
      </c>
      <c r="AN178" s="156"/>
      <c r="AO178" s="230">
        <v>3.5000000000000001E-3</v>
      </c>
      <c r="AP178" s="223">
        <v>1356</v>
      </c>
      <c r="AQ178" s="223">
        <v>1164</v>
      </c>
      <c r="AR178" s="235">
        <v>0.85799999999999998</v>
      </c>
      <c r="AS178" s="223">
        <v>1111</v>
      </c>
      <c r="AT178" s="235">
        <v>0.81899999999999995</v>
      </c>
      <c r="AU178" s="223">
        <v>1064</v>
      </c>
      <c r="AV178" s="232">
        <v>0.78500000000000003</v>
      </c>
      <c r="AW178" s="223">
        <v>708</v>
      </c>
      <c r="AX178" s="223">
        <v>675</v>
      </c>
      <c r="AY178" s="235">
        <v>0.95299999999999996</v>
      </c>
      <c r="AZ178" s="223">
        <v>631</v>
      </c>
      <c r="BA178" s="235">
        <v>0.89100000000000001</v>
      </c>
      <c r="BB178" s="223">
        <v>627</v>
      </c>
      <c r="BC178" s="232">
        <v>0.88600000000000001</v>
      </c>
    </row>
    <row r="179" spans="1:55" x14ac:dyDescent="0.25">
      <c r="A179" s="226">
        <v>1</v>
      </c>
      <c r="B179" s="211" t="s">
        <v>117</v>
      </c>
      <c r="C179" s="211">
        <v>628</v>
      </c>
      <c r="D179" s="211" t="s">
        <v>355</v>
      </c>
      <c r="E179" s="211">
        <v>899</v>
      </c>
      <c r="F179" s="211">
        <v>907</v>
      </c>
      <c r="G179" s="211"/>
      <c r="H179" s="220" t="str">
        <f>HYPERLINK("https://map.geo.admin.ch/?zoom=7&amp;E=616900&amp;N=194500&amp;layers=ch.kantone.cadastralwebmap-farbe,ch.swisstopo.amtliches-strassenverzeichnis,ch.bfs.gebaeude_wohnungs_register,KML||https://tinyurl.com/yy7ya4g9/BE/0628_bdg_erw.kml","KML building")</f>
        <v>KML building</v>
      </c>
      <c r="I179" s="154">
        <v>0</v>
      </c>
      <c r="J179" s="243" t="s">
        <v>1140</v>
      </c>
      <c r="K179" s="153">
        <v>0</v>
      </c>
      <c r="L179" s="64">
        <v>0</v>
      </c>
      <c r="M179" s="64"/>
      <c r="N179" s="200">
        <v>0</v>
      </c>
      <c r="O179" s="155"/>
      <c r="P179" s="63"/>
      <c r="Q179" s="64">
        <v>0</v>
      </c>
      <c r="R179" s="64"/>
      <c r="S179" s="200">
        <v>0</v>
      </c>
      <c r="T179" s="155"/>
      <c r="U179" s="63"/>
      <c r="V179" s="64">
        <v>0</v>
      </c>
      <c r="W179" s="64"/>
      <c r="X179" s="200">
        <v>0</v>
      </c>
      <c r="Y179" s="155"/>
      <c r="Z179" s="63"/>
      <c r="AA179" s="64">
        <v>0</v>
      </c>
      <c r="AB179" s="64"/>
      <c r="AC179" s="200">
        <v>0</v>
      </c>
      <c r="AD179" s="156"/>
      <c r="AE179" s="153"/>
      <c r="AF179" s="140">
        <v>2</v>
      </c>
      <c r="AG179" s="140"/>
      <c r="AH179" s="200">
        <v>2.2000000000000001E-3</v>
      </c>
      <c r="AI179" s="140"/>
      <c r="AJ179" s="153"/>
      <c r="AK179" s="140">
        <v>0</v>
      </c>
      <c r="AL179" s="140"/>
      <c r="AM179" s="200">
        <v>0</v>
      </c>
      <c r="AN179" s="156"/>
      <c r="AO179" s="230">
        <v>2.2000000000000001E-3</v>
      </c>
      <c r="AP179" s="223">
        <v>409</v>
      </c>
      <c r="AQ179" s="223">
        <v>338</v>
      </c>
      <c r="AR179" s="235">
        <v>0.82599999999999996</v>
      </c>
      <c r="AS179" s="223">
        <v>328</v>
      </c>
      <c r="AT179" s="235">
        <v>0.80200000000000005</v>
      </c>
      <c r="AU179" s="223">
        <v>312</v>
      </c>
      <c r="AV179" s="232">
        <v>0.76300000000000001</v>
      </c>
      <c r="AW179" s="223">
        <v>236</v>
      </c>
      <c r="AX179" s="223">
        <v>228</v>
      </c>
      <c r="AY179" s="235">
        <v>0.96599999999999997</v>
      </c>
      <c r="AZ179" s="223">
        <v>217</v>
      </c>
      <c r="BA179" s="235">
        <v>0.91900000000000004</v>
      </c>
      <c r="BB179" s="223">
        <v>217</v>
      </c>
      <c r="BC179" s="232">
        <v>0.91900000000000004</v>
      </c>
    </row>
    <row r="180" spans="1:55" x14ac:dyDescent="0.25">
      <c r="A180" s="226">
        <v>1</v>
      </c>
      <c r="B180" s="211" t="s">
        <v>117</v>
      </c>
      <c r="C180" s="211">
        <v>629</v>
      </c>
      <c r="D180" s="211" t="s">
        <v>356</v>
      </c>
      <c r="E180" s="211">
        <v>254</v>
      </c>
      <c r="F180" s="211">
        <v>255</v>
      </c>
      <c r="G180" s="211"/>
      <c r="H180" s="220" t="str">
        <f>HYPERLINK("https://map.geo.admin.ch/?zoom=7&amp;E=617100&amp;N=192000&amp;layers=ch.kantone.cadastralwebmap-farbe,ch.swisstopo.amtliches-strassenverzeichnis,ch.bfs.gebaeude_wohnungs_register,KML||https://tinyurl.com/yy7ya4g9/BE/0629_bdg_erw.kml","KML building")</f>
        <v>KML building</v>
      </c>
      <c r="I180" s="154">
        <v>0</v>
      </c>
      <c r="J180" s="243" t="s">
        <v>1141</v>
      </c>
      <c r="K180" s="153">
        <v>0</v>
      </c>
      <c r="L180" s="64">
        <v>0</v>
      </c>
      <c r="M180" s="64"/>
      <c r="N180" s="200">
        <v>0</v>
      </c>
      <c r="O180" s="155"/>
      <c r="P180" s="63"/>
      <c r="Q180" s="64">
        <v>0</v>
      </c>
      <c r="R180" s="64"/>
      <c r="S180" s="200">
        <v>0</v>
      </c>
      <c r="T180" s="155"/>
      <c r="U180" s="63"/>
      <c r="V180" s="64">
        <v>0</v>
      </c>
      <c r="W180" s="64"/>
      <c r="X180" s="200">
        <v>0</v>
      </c>
      <c r="Y180" s="155"/>
      <c r="Z180" s="63"/>
      <c r="AA180" s="64">
        <v>0</v>
      </c>
      <c r="AB180" s="64"/>
      <c r="AC180" s="200">
        <v>0</v>
      </c>
      <c r="AD180" s="156"/>
      <c r="AE180" s="153"/>
      <c r="AF180" s="140">
        <v>0</v>
      </c>
      <c r="AG180" s="140"/>
      <c r="AH180" s="200">
        <v>0</v>
      </c>
      <c r="AI180" s="140"/>
      <c r="AJ180" s="153"/>
      <c r="AK180" s="140">
        <v>2</v>
      </c>
      <c r="AL180" s="140"/>
      <c r="AM180" s="200">
        <v>7.9000000000000008E-3</v>
      </c>
      <c r="AN180" s="156"/>
      <c r="AO180" s="230">
        <v>7.9000000000000008E-3</v>
      </c>
      <c r="AP180" s="223">
        <v>146</v>
      </c>
      <c r="AQ180" s="223">
        <v>127</v>
      </c>
      <c r="AR180" s="235">
        <v>0.87</v>
      </c>
      <c r="AS180" s="223">
        <v>122</v>
      </c>
      <c r="AT180" s="235">
        <v>0.83599999999999997</v>
      </c>
      <c r="AU180" s="223">
        <v>121</v>
      </c>
      <c r="AV180" s="232">
        <v>0.82899999999999996</v>
      </c>
      <c r="AW180" s="223">
        <v>87</v>
      </c>
      <c r="AX180" s="223">
        <v>81</v>
      </c>
      <c r="AY180" s="235">
        <v>0.93100000000000005</v>
      </c>
      <c r="AZ180" s="223">
        <v>80</v>
      </c>
      <c r="BA180" s="235">
        <v>0.92</v>
      </c>
      <c r="BB180" s="223">
        <v>79</v>
      </c>
      <c r="BC180" s="232">
        <v>0.90800000000000003</v>
      </c>
    </row>
    <row r="181" spans="1:55" x14ac:dyDescent="0.25">
      <c r="A181" s="226">
        <v>1</v>
      </c>
      <c r="B181" s="211" t="s">
        <v>117</v>
      </c>
      <c r="C181" s="211">
        <v>630</v>
      </c>
      <c r="D181" s="211" t="s">
        <v>357</v>
      </c>
      <c r="E181" s="211">
        <v>350</v>
      </c>
      <c r="F181" s="211">
        <v>357</v>
      </c>
      <c r="G181" s="211"/>
      <c r="H181" s="220" t="str">
        <f>HYPERLINK("https://map.geo.admin.ch/?zoom=7&amp;E=606600&amp;N=195900&amp;layers=ch.kantone.cadastralwebmap-farbe,ch.swisstopo.amtliches-strassenverzeichnis,ch.bfs.gebaeude_wohnungs_register,KML||https://tinyurl.com/yy7ya4g9/BE/0630_bdg_erw.kml","KML building")</f>
        <v>KML building</v>
      </c>
      <c r="I181" s="154">
        <v>0</v>
      </c>
      <c r="J181" s="243" t="s">
        <v>1142</v>
      </c>
      <c r="K181" s="153">
        <v>0</v>
      </c>
      <c r="L181" s="64">
        <v>0</v>
      </c>
      <c r="M181" s="64"/>
      <c r="N181" s="200">
        <v>0</v>
      </c>
      <c r="O181" s="155"/>
      <c r="P181" s="63"/>
      <c r="Q181" s="64">
        <v>0</v>
      </c>
      <c r="R181" s="64"/>
      <c r="S181" s="200">
        <v>0</v>
      </c>
      <c r="T181" s="155"/>
      <c r="U181" s="63"/>
      <c r="V181" s="64">
        <v>0</v>
      </c>
      <c r="W181" s="64"/>
      <c r="X181" s="200">
        <v>0</v>
      </c>
      <c r="Y181" s="155"/>
      <c r="Z181" s="63"/>
      <c r="AA181" s="64">
        <v>0</v>
      </c>
      <c r="AB181" s="64"/>
      <c r="AC181" s="200">
        <v>0</v>
      </c>
      <c r="AD181" s="156"/>
      <c r="AE181" s="153"/>
      <c r="AF181" s="140">
        <v>1</v>
      </c>
      <c r="AG181" s="140"/>
      <c r="AH181" s="200">
        <v>2.8999999999999998E-3</v>
      </c>
      <c r="AI181" s="140"/>
      <c r="AJ181" s="153"/>
      <c r="AK181" s="140">
        <v>0</v>
      </c>
      <c r="AL181" s="140"/>
      <c r="AM181" s="200">
        <v>0</v>
      </c>
      <c r="AN181" s="156"/>
      <c r="AO181" s="230">
        <v>2.8999999999999998E-3</v>
      </c>
      <c r="AP181" s="223">
        <v>159</v>
      </c>
      <c r="AQ181" s="223">
        <v>158</v>
      </c>
      <c r="AR181" s="235">
        <v>0.99399999999999999</v>
      </c>
      <c r="AS181" s="223">
        <v>130</v>
      </c>
      <c r="AT181" s="235">
        <v>0.81799999999999995</v>
      </c>
      <c r="AU181" s="223">
        <v>129</v>
      </c>
      <c r="AV181" s="232">
        <v>0.81100000000000005</v>
      </c>
      <c r="AW181" s="223">
        <v>71</v>
      </c>
      <c r="AX181" s="223">
        <v>70</v>
      </c>
      <c r="AY181" s="235">
        <v>0.98599999999999999</v>
      </c>
      <c r="AZ181" s="223">
        <v>69</v>
      </c>
      <c r="BA181" s="235">
        <v>0.97199999999999998</v>
      </c>
      <c r="BB181" s="223">
        <v>68</v>
      </c>
      <c r="BC181" s="232">
        <v>0.95799999999999996</v>
      </c>
    </row>
    <row r="182" spans="1:55" x14ac:dyDescent="0.25">
      <c r="A182" s="226">
        <v>1</v>
      </c>
      <c r="B182" s="211" t="s">
        <v>117</v>
      </c>
      <c r="C182" s="211">
        <v>632</v>
      </c>
      <c r="D182" s="211" t="s">
        <v>358</v>
      </c>
      <c r="E182" s="211">
        <v>1607</v>
      </c>
      <c r="F182" s="211">
        <v>1611</v>
      </c>
      <c r="G182" s="211"/>
      <c r="H182" s="220" t="str">
        <f>HYPERLINK("https://map.geo.admin.ch/?zoom=7&amp;E=610500&amp;N=188700&amp;layers=ch.kantone.cadastralwebmap-farbe,ch.swisstopo.amtliches-strassenverzeichnis,ch.bfs.gebaeude_wohnungs_register,KML||https://tinyurl.com/yy7ya4g9/BE/0632_bdg_erw.kml","KML building")</f>
        <v>KML building</v>
      </c>
      <c r="I182" s="154">
        <v>0</v>
      </c>
      <c r="J182" s="243" t="s">
        <v>1143</v>
      </c>
      <c r="K182" s="153">
        <v>0</v>
      </c>
      <c r="L182" s="64">
        <v>0</v>
      </c>
      <c r="M182" s="64"/>
      <c r="N182" s="200">
        <v>0</v>
      </c>
      <c r="O182" s="155"/>
      <c r="P182" s="63"/>
      <c r="Q182" s="64">
        <v>0</v>
      </c>
      <c r="R182" s="64"/>
      <c r="S182" s="200">
        <v>0</v>
      </c>
      <c r="T182" s="155"/>
      <c r="U182" s="63"/>
      <c r="V182" s="64">
        <v>0</v>
      </c>
      <c r="W182" s="64"/>
      <c r="X182" s="200">
        <v>0</v>
      </c>
      <c r="Y182" s="155"/>
      <c r="Z182" s="63"/>
      <c r="AA182" s="64">
        <v>0</v>
      </c>
      <c r="AB182" s="64"/>
      <c r="AC182" s="200">
        <v>0</v>
      </c>
      <c r="AD182" s="156"/>
      <c r="AE182" s="153"/>
      <c r="AF182" s="140">
        <v>16</v>
      </c>
      <c r="AG182" s="140"/>
      <c r="AH182" s="200">
        <v>0.01</v>
      </c>
      <c r="AI182" s="140"/>
      <c r="AJ182" s="153"/>
      <c r="AK182" s="140">
        <v>0</v>
      </c>
      <c r="AL182" s="140"/>
      <c r="AM182" s="200">
        <v>0</v>
      </c>
      <c r="AN182" s="156"/>
      <c r="AO182" s="230">
        <v>0.01</v>
      </c>
      <c r="AP182" s="223">
        <v>609</v>
      </c>
      <c r="AQ182" s="223">
        <v>577</v>
      </c>
      <c r="AR182" s="235">
        <v>0.94699999999999995</v>
      </c>
      <c r="AS182" s="223">
        <v>487</v>
      </c>
      <c r="AT182" s="235">
        <v>0.8</v>
      </c>
      <c r="AU182" s="223">
        <v>485</v>
      </c>
      <c r="AV182" s="232">
        <v>0.79600000000000004</v>
      </c>
      <c r="AW182" s="223">
        <v>260</v>
      </c>
      <c r="AX182" s="223">
        <v>246</v>
      </c>
      <c r="AY182" s="235">
        <v>0.94599999999999995</v>
      </c>
      <c r="AZ182" s="223">
        <v>235</v>
      </c>
      <c r="BA182" s="235">
        <v>0.90400000000000003</v>
      </c>
      <c r="BB182" s="223">
        <v>233</v>
      </c>
      <c r="BC182" s="232">
        <v>0.89600000000000002</v>
      </c>
    </row>
    <row r="183" spans="1:55" x14ac:dyDescent="0.25">
      <c r="A183" s="226">
        <v>1</v>
      </c>
      <c r="B183" s="211" t="s">
        <v>117</v>
      </c>
      <c r="C183" s="211">
        <v>662</v>
      </c>
      <c r="D183" s="211" t="s">
        <v>359</v>
      </c>
      <c r="E183" s="211">
        <v>827</v>
      </c>
      <c r="F183" s="211">
        <v>830</v>
      </c>
      <c r="G183" s="211"/>
      <c r="H183" s="220" t="str">
        <f>HYPERLINK("https://map.geo.admin.ch/?zoom=7&amp;E=582700&amp;N=198800&amp;layers=ch.kantone.cadastralwebmap-farbe,ch.swisstopo.amtliches-strassenverzeichnis,ch.bfs.gebaeude_wohnungs_register,KML||https://tinyurl.com/yy7ya4g9/BE/0662_bdg_erw.kml","KML building")</f>
        <v>KML building</v>
      </c>
      <c r="I183" s="154">
        <v>0</v>
      </c>
      <c r="J183" s="243" t="s">
        <v>1144</v>
      </c>
      <c r="K183" s="153">
        <v>0</v>
      </c>
      <c r="L183" s="64">
        <v>0</v>
      </c>
      <c r="M183" s="64"/>
      <c r="N183" s="200">
        <v>0</v>
      </c>
      <c r="O183" s="155"/>
      <c r="P183" s="63"/>
      <c r="Q183" s="64">
        <v>0</v>
      </c>
      <c r="R183" s="64"/>
      <c r="S183" s="200">
        <v>0</v>
      </c>
      <c r="T183" s="155"/>
      <c r="U183" s="63"/>
      <c r="V183" s="64">
        <v>0</v>
      </c>
      <c r="W183" s="64"/>
      <c r="X183" s="200">
        <v>0</v>
      </c>
      <c r="Y183" s="155"/>
      <c r="Z183" s="63"/>
      <c r="AA183" s="64">
        <v>0</v>
      </c>
      <c r="AB183" s="64"/>
      <c r="AC183" s="200">
        <v>0</v>
      </c>
      <c r="AD183" s="156"/>
      <c r="AE183" s="153"/>
      <c r="AF183" s="140">
        <v>0</v>
      </c>
      <c r="AG183" s="140"/>
      <c r="AH183" s="200">
        <v>0</v>
      </c>
      <c r="AI183" s="140"/>
      <c r="AJ183" s="153"/>
      <c r="AK183" s="140">
        <v>0</v>
      </c>
      <c r="AL183" s="140"/>
      <c r="AM183" s="200">
        <v>0</v>
      </c>
      <c r="AN183" s="156"/>
      <c r="AO183" s="230">
        <v>0</v>
      </c>
      <c r="AP183" s="223">
        <v>397</v>
      </c>
      <c r="AQ183" s="223">
        <v>342</v>
      </c>
      <c r="AR183" s="235">
        <v>0.86099999999999999</v>
      </c>
      <c r="AS183" s="223">
        <v>303</v>
      </c>
      <c r="AT183" s="235">
        <v>0.76300000000000001</v>
      </c>
      <c r="AU183" s="223">
        <v>282</v>
      </c>
      <c r="AV183" s="232">
        <v>0.71</v>
      </c>
      <c r="AW183" s="223">
        <v>220</v>
      </c>
      <c r="AX183" s="223">
        <v>205</v>
      </c>
      <c r="AY183" s="235">
        <v>0.93200000000000005</v>
      </c>
      <c r="AZ183" s="223">
        <v>193</v>
      </c>
      <c r="BA183" s="235">
        <v>0.877</v>
      </c>
      <c r="BB183" s="223">
        <v>190</v>
      </c>
      <c r="BC183" s="232">
        <v>0.86399999999999999</v>
      </c>
    </row>
    <row r="184" spans="1:55" x14ac:dyDescent="0.25">
      <c r="A184" s="226">
        <v>1</v>
      </c>
      <c r="B184" s="211" t="s">
        <v>117</v>
      </c>
      <c r="C184" s="211">
        <v>663</v>
      </c>
      <c r="D184" s="211" t="s">
        <v>360</v>
      </c>
      <c r="E184" s="211">
        <v>575</v>
      </c>
      <c r="F184" s="211">
        <v>584</v>
      </c>
      <c r="G184" s="211"/>
      <c r="H184" s="220" t="str">
        <f>HYPERLINK("https://map.geo.admin.ch/?zoom=7&amp;E=592300&amp;N=200400&amp;layers=ch.kantone.cadastralwebmap-farbe,ch.swisstopo.amtliches-strassenverzeichnis,ch.bfs.gebaeude_wohnungs_register,KML||https://tinyurl.com/yy7ya4g9/BE/0663_bdg_erw.kml","KML building")</f>
        <v>KML building</v>
      </c>
      <c r="I184" s="154">
        <v>0</v>
      </c>
      <c r="J184" s="243" t="s">
        <v>1145</v>
      </c>
      <c r="K184" s="153">
        <v>0</v>
      </c>
      <c r="L184" s="64">
        <v>0</v>
      </c>
      <c r="M184" s="64"/>
      <c r="N184" s="200">
        <v>0</v>
      </c>
      <c r="O184" s="155"/>
      <c r="P184" s="63"/>
      <c r="Q184" s="64">
        <v>0</v>
      </c>
      <c r="R184" s="64"/>
      <c r="S184" s="200">
        <v>0</v>
      </c>
      <c r="T184" s="155"/>
      <c r="U184" s="63"/>
      <c r="V184" s="64">
        <v>1</v>
      </c>
      <c r="W184" s="64"/>
      <c r="X184" s="200">
        <v>1.6999999999999999E-3</v>
      </c>
      <c r="Y184" s="155"/>
      <c r="Z184" s="63"/>
      <c r="AA184" s="64">
        <v>0</v>
      </c>
      <c r="AB184" s="64"/>
      <c r="AC184" s="200">
        <v>0</v>
      </c>
      <c r="AD184" s="156"/>
      <c r="AE184" s="153"/>
      <c r="AF184" s="140">
        <v>0</v>
      </c>
      <c r="AG184" s="140"/>
      <c r="AH184" s="200">
        <v>0</v>
      </c>
      <c r="AI184" s="140"/>
      <c r="AJ184" s="153"/>
      <c r="AK184" s="140">
        <v>0</v>
      </c>
      <c r="AL184" s="140"/>
      <c r="AM184" s="200">
        <v>0</v>
      </c>
      <c r="AN184" s="156"/>
      <c r="AO184" s="230">
        <v>1.6999999999999999E-3</v>
      </c>
      <c r="AP184" s="223">
        <v>229</v>
      </c>
      <c r="AQ184" s="223">
        <v>191</v>
      </c>
      <c r="AR184" s="235">
        <v>0.83399999999999996</v>
      </c>
      <c r="AS184" s="223">
        <v>163</v>
      </c>
      <c r="AT184" s="235">
        <v>0.71199999999999997</v>
      </c>
      <c r="AU184" s="223">
        <v>155</v>
      </c>
      <c r="AV184" s="232">
        <v>0.67700000000000005</v>
      </c>
      <c r="AW184" s="223">
        <v>147</v>
      </c>
      <c r="AX184" s="223">
        <v>136</v>
      </c>
      <c r="AY184" s="235">
        <v>0.92500000000000004</v>
      </c>
      <c r="AZ184" s="223">
        <v>127</v>
      </c>
      <c r="BA184" s="235">
        <v>0.86399999999999999</v>
      </c>
      <c r="BB184" s="223">
        <v>124</v>
      </c>
      <c r="BC184" s="232">
        <v>0.84399999999999997</v>
      </c>
    </row>
    <row r="185" spans="1:55" x14ac:dyDescent="0.25">
      <c r="A185" s="226">
        <v>1</v>
      </c>
      <c r="B185" s="211" t="s">
        <v>117</v>
      </c>
      <c r="C185" s="211">
        <v>665</v>
      </c>
      <c r="D185" s="211" t="s">
        <v>361</v>
      </c>
      <c r="E185" s="211">
        <v>194</v>
      </c>
      <c r="F185" s="211">
        <v>195</v>
      </c>
      <c r="G185" s="211"/>
      <c r="H185" s="220" t="str">
        <f>HYPERLINK("https://map.geo.admin.ch/?zoom=7&amp;E=583000&amp;N=201500&amp;layers=ch.kantone.cadastralwebmap-farbe,ch.swisstopo.amtliches-strassenverzeichnis,ch.bfs.gebaeude_wohnungs_register,KML||https://tinyurl.com/yy7ya4g9/BE/0665_bdg_erw.kml","KML building")</f>
        <v>KML building</v>
      </c>
      <c r="I185" s="154">
        <v>0</v>
      </c>
      <c r="J185" s="243" t="s">
        <v>1146</v>
      </c>
      <c r="K185" s="153">
        <v>0</v>
      </c>
      <c r="L185" s="64">
        <v>0</v>
      </c>
      <c r="M185" s="64"/>
      <c r="N185" s="200">
        <v>0</v>
      </c>
      <c r="O185" s="155"/>
      <c r="P185" s="63"/>
      <c r="Q185" s="64">
        <v>0</v>
      </c>
      <c r="R185" s="64"/>
      <c r="S185" s="200">
        <v>0</v>
      </c>
      <c r="T185" s="155"/>
      <c r="U185" s="63"/>
      <c r="V185" s="64">
        <v>0</v>
      </c>
      <c r="W185" s="64"/>
      <c r="X185" s="200">
        <v>0</v>
      </c>
      <c r="Y185" s="155"/>
      <c r="Z185" s="63"/>
      <c r="AA185" s="64">
        <v>0</v>
      </c>
      <c r="AB185" s="64"/>
      <c r="AC185" s="200">
        <v>0</v>
      </c>
      <c r="AD185" s="156"/>
      <c r="AE185" s="153"/>
      <c r="AF185" s="140">
        <v>1</v>
      </c>
      <c r="AG185" s="140"/>
      <c r="AH185" s="200">
        <v>5.1999999999999998E-3</v>
      </c>
      <c r="AI185" s="140"/>
      <c r="AJ185" s="153"/>
      <c r="AK185" s="140">
        <v>0</v>
      </c>
      <c r="AL185" s="140"/>
      <c r="AM185" s="200">
        <v>0</v>
      </c>
      <c r="AN185" s="156"/>
      <c r="AO185" s="230">
        <v>5.1999999999999998E-3</v>
      </c>
      <c r="AP185" s="223">
        <v>113</v>
      </c>
      <c r="AQ185" s="223">
        <v>92</v>
      </c>
      <c r="AR185" s="235">
        <v>0.81399999999999995</v>
      </c>
      <c r="AS185" s="223">
        <v>79</v>
      </c>
      <c r="AT185" s="235">
        <v>0.69899999999999995</v>
      </c>
      <c r="AU185" s="223">
        <v>79</v>
      </c>
      <c r="AV185" s="232">
        <v>0.69899999999999995</v>
      </c>
      <c r="AW185" s="223">
        <v>70</v>
      </c>
      <c r="AX185" s="223">
        <v>67</v>
      </c>
      <c r="AY185" s="235">
        <v>0.95699999999999996</v>
      </c>
      <c r="AZ185" s="223">
        <v>57</v>
      </c>
      <c r="BA185" s="235">
        <v>0.81399999999999995</v>
      </c>
      <c r="BB185" s="223">
        <v>57</v>
      </c>
      <c r="BC185" s="232">
        <v>0.81399999999999995</v>
      </c>
    </row>
    <row r="186" spans="1:55" x14ac:dyDescent="0.25">
      <c r="A186" s="226">
        <v>1</v>
      </c>
      <c r="B186" s="211" t="s">
        <v>117</v>
      </c>
      <c r="C186" s="211">
        <v>666</v>
      </c>
      <c r="D186" s="211" t="s">
        <v>362</v>
      </c>
      <c r="E186" s="211">
        <v>313</v>
      </c>
      <c r="F186" s="211">
        <v>320</v>
      </c>
      <c r="G186" s="211"/>
      <c r="H186" s="220" t="str">
        <f>HYPERLINK("https://map.geo.admin.ch/?zoom=7&amp;E=583900&amp;N=195600&amp;layers=ch.kantone.cadastralwebmap-farbe,ch.swisstopo.amtliches-strassenverzeichnis,ch.bfs.gebaeude_wohnungs_register,KML||https://tinyurl.com/yy7ya4g9/BE/0666_bdg_erw.kml","KML building")</f>
        <v>KML building</v>
      </c>
      <c r="I186" s="154">
        <v>0</v>
      </c>
      <c r="J186" s="243" t="s">
        <v>1147</v>
      </c>
      <c r="K186" s="153">
        <v>0</v>
      </c>
      <c r="L186" s="64">
        <v>0</v>
      </c>
      <c r="M186" s="64"/>
      <c r="N186" s="200">
        <v>0</v>
      </c>
      <c r="O186" s="155"/>
      <c r="P186" s="63"/>
      <c r="Q186" s="64">
        <v>0</v>
      </c>
      <c r="R186" s="64"/>
      <c r="S186" s="200">
        <v>0</v>
      </c>
      <c r="T186" s="155"/>
      <c r="U186" s="63"/>
      <c r="V186" s="64">
        <v>0</v>
      </c>
      <c r="W186" s="64"/>
      <c r="X186" s="200">
        <v>0</v>
      </c>
      <c r="Y186" s="155"/>
      <c r="Z186" s="63"/>
      <c r="AA186" s="64">
        <v>0</v>
      </c>
      <c r="AB186" s="64"/>
      <c r="AC186" s="200">
        <v>0</v>
      </c>
      <c r="AD186" s="156"/>
      <c r="AE186" s="153"/>
      <c r="AF186" s="140">
        <v>2</v>
      </c>
      <c r="AG186" s="140"/>
      <c r="AH186" s="200">
        <v>6.4000000000000003E-3</v>
      </c>
      <c r="AI186" s="140"/>
      <c r="AJ186" s="153"/>
      <c r="AK186" s="140">
        <v>0</v>
      </c>
      <c r="AL186" s="140"/>
      <c r="AM186" s="200">
        <v>0</v>
      </c>
      <c r="AN186" s="156"/>
      <c r="AO186" s="230">
        <v>6.4000000000000003E-3</v>
      </c>
      <c r="AP186" s="223">
        <v>167</v>
      </c>
      <c r="AQ186" s="223">
        <v>140</v>
      </c>
      <c r="AR186" s="235">
        <v>0.83799999999999997</v>
      </c>
      <c r="AS186" s="223">
        <v>146</v>
      </c>
      <c r="AT186" s="235">
        <v>0.874</v>
      </c>
      <c r="AU186" s="223">
        <v>136</v>
      </c>
      <c r="AV186" s="232">
        <v>0.81399999999999995</v>
      </c>
      <c r="AW186" s="223">
        <v>103</v>
      </c>
      <c r="AX186" s="223">
        <v>93</v>
      </c>
      <c r="AY186" s="235">
        <v>0.90300000000000002</v>
      </c>
      <c r="AZ186" s="223">
        <v>97</v>
      </c>
      <c r="BA186" s="235">
        <v>0.94199999999999995</v>
      </c>
      <c r="BB186" s="223">
        <v>92</v>
      </c>
      <c r="BC186" s="232">
        <v>0.89300000000000002</v>
      </c>
    </row>
    <row r="187" spans="1:55" x14ac:dyDescent="0.25">
      <c r="A187" s="226">
        <v>1</v>
      </c>
      <c r="B187" s="211" t="s">
        <v>117</v>
      </c>
      <c r="C187" s="211">
        <v>667</v>
      </c>
      <c r="D187" s="211" t="s">
        <v>363</v>
      </c>
      <c r="E187" s="211">
        <v>1249</v>
      </c>
      <c r="F187" s="211">
        <v>1270</v>
      </c>
      <c r="G187" s="211"/>
      <c r="H187" s="220" t="str">
        <f>HYPERLINK("https://map.geo.admin.ch/?zoom=7&amp;E=584800&amp;N=194600&amp;layers=ch.kantone.cadastralwebmap-farbe,ch.swisstopo.amtliches-strassenverzeichnis,ch.bfs.gebaeude_wohnungs_register,KML||https://tinyurl.com/yy7ya4g9/BE/0667_bdg_erw.kml","KML building")</f>
        <v>KML building</v>
      </c>
      <c r="I187" s="154">
        <v>0</v>
      </c>
      <c r="J187" s="243" t="s">
        <v>1148</v>
      </c>
      <c r="K187" s="153">
        <v>0</v>
      </c>
      <c r="L187" s="64">
        <v>0</v>
      </c>
      <c r="M187" s="64"/>
      <c r="N187" s="200">
        <v>0</v>
      </c>
      <c r="O187" s="155"/>
      <c r="P187" s="63"/>
      <c r="Q187" s="64">
        <v>0</v>
      </c>
      <c r="R187" s="64"/>
      <c r="S187" s="200">
        <v>0</v>
      </c>
      <c r="T187" s="155"/>
      <c r="U187" s="63"/>
      <c r="V187" s="64">
        <v>0</v>
      </c>
      <c r="W187" s="64"/>
      <c r="X187" s="200">
        <v>0</v>
      </c>
      <c r="Y187" s="155"/>
      <c r="Z187" s="63"/>
      <c r="AA187" s="64">
        <v>2</v>
      </c>
      <c r="AB187" s="64"/>
      <c r="AC187" s="200">
        <v>1.6000000000000001E-3</v>
      </c>
      <c r="AD187" s="156"/>
      <c r="AE187" s="153"/>
      <c r="AF187" s="140">
        <v>5</v>
      </c>
      <c r="AG187" s="140"/>
      <c r="AH187" s="200">
        <v>4.0000000000000001E-3</v>
      </c>
      <c r="AI187" s="140"/>
      <c r="AJ187" s="153"/>
      <c r="AK187" s="140">
        <v>1</v>
      </c>
      <c r="AL187" s="140"/>
      <c r="AM187" s="200">
        <v>8.0000000000000004E-4</v>
      </c>
      <c r="AN187" s="156"/>
      <c r="AO187" s="230">
        <v>6.4000000000000003E-3</v>
      </c>
      <c r="AP187" s="223">
        <v>505</v>
      </c>
      <c r="AQ187" s="223">
        <v>401</v>
      </c>
      <c r="AR187" s="235">
        <v>0.79400000000000004</v>
      </c>
      <c r="AS187" s="223">
        <v>378</v>
      </c>
      <c r="AT187" s="235">
        <v>0.749</v>
      </c>
      <c r="AU187" s="223">
        <v>370</v>
      </c>
      <c r="AV187" s="232">
        <v>0.73299999999999998</v>
      </c>
      <c r="AW187" s="223">
        <v>240</v>
      </c>
      <c r="AX187" s="223">
        <v>220</v>
      </c>
      <c r="AY187" s="235">
        <v>0.91700000000000004</v>
      </c>
      <c r="AZ187" s="223">
        <v>213</v>
      </c>
      <c r="BA187" s="235">
        <v>0.88800000000000001</v>
      </c>
      <c r="BB187" s="223">
        <v>209</v>
      </c>
      <c r="BC187" s="232">
        <v>0.871</v>
      </c>
    </row>
    <row r="188" spans="1:55" x14ac:dyDescent="0.25">
      <c r="A188" s="226">
        <v>1</v>
      </c>
      <c r="B188" s="211" t="s">
        <v>117</v>
      </c>
      <c r="C188" s="211">
        <v>668</v>
      </c>
      <c r="D188" s="211" t="s">
        <v>364</v>
      </c>
      <c r="E188" s="211">
        <v>1868</v>
      </c>
      <c r="F188" s="211">
        <v>1900</v>
      </c>
      <c r="G188" s="211"/>
      <c r="H188" s="220" t="str">
        <f>HYPERLINK("https://map.geo.admin.ch/?zoom=7&amp;E=586600&amp;N=200400&amp;layers=ch.kantone.cadastralwebmap-farbe,ch.swisstopo.amtliches-strassenverzeichnis,ch.bfs.gebaeude_wohnungs_register,KML||https://tinyurl.com/yy7ya4g9/BE/0668_bdg_erw.kml","KML building")</f>
        <v>KML building</v>
      </c>
      <c r="I188" s="154">
        <v>0</v>
      </c>
      <c r="J188" s="243" t="s">
        <v>1149</v>
      </c>
      <c r="K188" s="153">
        <v>0</v>
      </c>
      <c r="L188" s="64">
        <v>0</v>
      </c>
      <c r="M188" s="64"/>
      <c r="N188" s="200">
        <v>0</v>
      </c>
      <c r="O188" s="155"/>
      <c r="P188" s="63"/>
      <c r="Q188" s="64">
        <v>0</v>
      </c>
      <c r="R188" s="64"/>
      <c r="S188" s="200">
        <v>0</v>
      </c>
      <c r="T188" s="155"/>
      <c r="U188" s="63"/>
      <c r="V188" s="64">
        <v>0</v>
      </c>
      <c r="W188" s="64"/>
      <c r="X188" s="200">
        <v>0</v>
      </c>
      <c r="Y188" s="155"/>
      <c r="Z188" s="63"/>
      <c r="AA188" s="64">
        <v>0</v>
      </c>
      <c r="AB188" s="64"/>
      <c r="AC188" s="200">
        <v>0</v>
      </c>
      <c r="AD188" s="156"/>
      <c r="AE188" s="153"/>
      <c r="AF188" s="140">
        <v>0</v>
      </c>
      <c r="AG188" s="140"/>
      <c r="AH188" s="200">
        <v>0</v>
      </c>
      <c r="AI188" s="140"/>
      <c r="AJ188" s="153"/>
      <c r="AK188" s="140">
        <v>0</v>
      </c>
      <c r="AL188" s="140"/>
      <c r="AM188" s="200">
        <v>0</v>
      </c>
      <c r="AN188" s="156"/>
      <c r="AO188" s="230">
        <v>0</v>
      </c>
      <c r="AP188" s="223">
        <v>904</v>
      </c>
      <c r="AQ188" s="223">
        <v>728</v>
      </c>
      <c r="AR188" s="235">
        <v>0.80500000000000005</v>
      </c>
      <c r="AS188" s="223">
        <v>683</v>
      </c>
      <c r="AT188" s="235">
        <v>0.75600000000000001</v>
      </c>
      <c r="AU188" s="223">
        <v>644</v>
      </c>
      <c r="AV188" s="232">
        <v>0.71199999999999997</v>
      </c>
      <c r="AW188" s="223">
        <v>582</v>
      </c>
      <c r="AX188" s="223">
        <v>565</v>
      </c>
      <c r="AY188" s="235">
        <v>0.97099999999999997</v>
      </c>
      <c r="AZ188" s="223">
        <v>511</v>
      </c>
      <c r="BA188" s="235">
        <v>0.878</v>
      </c>
      <c r="BB188" s="223">
        <v>507</v>
      </c>
      <c r="BC188" s="232">
        <v>0.871</v>
      </c>
    </row>
    <row r="189" spans="1:55" x14ac:dyDescent="0.25">
      <c r="A189" s="226">
        <v>1</v>
      </c>
      <c r="B189" s="211" t="s">
        <v>117</v>
      </c>
      <c r="C189" s="211">
        <v>669</v>
      </c>
      <c r="D189" s="211" t="s">
        <v>365</v>
      </c>
      <c r="E189" s="211">
        <v>331</v>
      </c>
      <c r="F189" s="211">
        <v>331</v>
      </c>
      <c r="G189" s="211"/>
      <c r="H189" s="220" t="str">
        <f>HYPERLINK("https://map.geo.admin.ch/?zoom=7&amp;E=576200&amp;N=195800&amp;layers=ch.kantone.cadastralwebmap-farbe,ch.swisstopo.amtliches-strassenverzeichnis,ch.bfs.gebaeude_wohnungs_register,KML||https://tinyurl.com/yy7ya4g9/BE/0669_bdg_erw.kml","KML building")</f>
        <v>KML building</v>
      </c>
      <c r="I189" s="154">
        <v>0</v>
      </c>
      <c r="J189" s="243" t="s">
        <v>1150</v>
      </c>
      <c r="K189" s="153">
        <v>0</v>
      </c>
      <c r="L189" s="64">
        <v>0</v>
      </c>
      <c r="M189" s="64"/>
      <c r="N189" s="200">
        <v>0</v>
      </c>
      <c r="O189" s="155"/>
      <c r="P189" s="63"/>
      <c r="Q189" s="64">
        <v>0</v>
      </c>
      <c r="R189" s="64"/>
      <c r="S189" s="200">
        <v>0</v>
      </c>
      <c r="T189" s="155"/>
      <c r="U189" s="63"/>
      <c r="V189" s="64">
        <v>0</v>
      </c>
      <c r="W189" s="64"/>
      <c r="X189" s="200">
        <v>0</v>
      </c>
      <c r="Y189" s="155"/>
      <c r="Z189" s="63"/>
      <c r="AA189" s="64">
        <v>0</v>
      </c>
      <c r="AB189" s="64"/>
      <c r="AC189" s="200">
        <v>0</v>
      </c>
      <c r="AD189" s="156"/>
      <c r="AE189" s="153"/>
      <c r="AF189" s="140">
        <v>0</v>
      </c>
      <c r="AG189" s="140"/>
      <c r="AH189" s="200">
        <v>0</v>
      </c>
      <c r="AI189" s="140"/>
      <c r="AJ189" s="153"/>
      <c r="AK189" s="140">
        <v>0</v>
      </c>
      <c r="AL189" s="140"/>
      <c r="AM189" s="200">
        <v>0</v>
      </c>
      <c r="AN189" s="156"/>
      <c r="AO189" s="230">
        <v>0</v>
      </c>
      <c r="AP189" s="223">
        <v>138</v>
      </c>
      <c r="AQ189" s="223">
        <v>114</v>
      </c>
      <c r="AR189" s="235">
        <v>0.82599999999999996</v>
      </c>
      <c r="AS189" s="223">
        <v>108</v>
      </c>
      <c r="AT189" s="235">
        <v>0.78300000000000003</v>
      </c>
      <c r="AU189" s="223">
        <v>103</v>
      </c>
      <c r="AV189" s="232">
        <v>0.746</v>
      </c>
      <c r="AW189" s="223">
        <v>81</v>
      </c>
      <c r="AX189" s="223">
        <v>78</v>
      </c>
      <c r="AY189" s="235">
        <v>0.96299999999999997</v>
      </c>
      <c r="AZ189" s="223">
        <v>74</v>
      </c>
      <c r="BA189" s="235">
        <v>0.91400000000000003</v>
      </c>
      <c r="BB189" s="223">
        <v>72</v>
      </c>
      <c r="BC189" s="232">
        <v>0.88900000000000001</v>
      </c>
    </row>
    <row r="190" spans="1:55" x14ac:dyDescent="0.25">
      <c r="A190" s="226">
        <v>1</v>
      </c>
      <c r="B190" s="211" t="s">
        <v>117</v>
      </c>
      <c r="C190" s="211">
        <v>670</v>
      </c>
      <c r="D190" s="211" t="s">
        <v>366</v>
      </c>
      <c r="E190" s="211">
        <v>2442</v>
      </c>
      <c r="F190" s="211">
        <v>2459</v>
      </c>
      <c r="G190" s="211"/>
      <c r="H190" s="220" t="str">
        <f>HYPERLINK("https://map.geo.admin.ch/?zoom=7&amp;E=589700&amp;N=193800&amp;layers=ch.kantone.cadastralwebmap-farbe,ch.swisstopo.amtliches-strassenverzeichnis,ch.bfs.gebaeude_wohnungs_register,KML||https://tinyurl.com/yy7ya4g9/BE/0670_bdg_erw.kml","KML building")</f>
        <v>KML building</v>
      </c>
      <c r="I190" s="154">
        <v>0</v>
      </c>
      <c r="J190" s="243" t="s">
        <v>1151</v>
      </c>
      <c r="K190" s="153">
        <v>0</v>
      </c>
      <c r="L190" s="64">
        <v>0</v>
      </c>
      <c r="M190" s="64"/>
      <c r="N190" s="200">
        <v>0</v>
      </c>
      <c r="O190" s="155"/>
      <c r="P190" s="63"/>
      <c r="Q190" s="64">
        <v>0</v>
      </c>
      <c r="R190" s="64"/>
      <c r="S190" s="200">
        <v>0</v>
      </c>
      <c r="T190" s="155"/>
      <c r="U190" s="63"/>
      <c r="V190" s="64">
        <v>0</v>
      </c>
      <c r="W190" s="64"/>
      <c r="X190" s="200">
        <v>0</v>
      </c>
      <c r="Y190" s="155"/>
      <c r="Z190" s="63"/>
      <c r="AA190" s="64">
        <v>0</v>
      </c>
      <c r="AB190" s="64"/>
      <c r="AC190" s="200">
        <v>0</v>
      </c>
      <c r="AD190" s="156"/>
      <c r="AE190" s="153"/>
      <c r="AF190" s="140">
        <v>1</v>
      </c>
      <c r="AG190" s="140"/>
      <c r="AH190" s="200">
        <v>4.0000000000000002E-4</v>
      </c>
      <c r="AI190" s="140"/>
      <c r="AJ190" s="153"/>
      <c r="AK190" s="140">
        <v>2</v>
      </c>
      <c r="AL190" s="140"/>
      <c r="AM190" s="200">
        <v>8.0000000000000004E-4</v>
      </c>
      <c r="AN190" s="156"/>
      <c r="AO190" s="230">
        <v>1.2000000000000001E-3</v>
      </c>
      <c r="AP190" s="223">
        <v>1073</v>
      </c>
      <c r="AQ190" s="223">
        <v>883</v>
      </c>
      <c r="AR190" s="235">
        <v>0.82299999999999995</v>
      </c>
      <c r="AS190" s="223">
        <v>731</v>
      </c>
      <c r="AT190" s="235">
        <v>0.68100000000000005</v>
      </c>
      <c r="AU190" s="223">
        <v>703</v>
      </c>
      <c r="AV190" s="232">
        <v>0.65500000000000003</v>
      </c>
      <c r="AW190" s="223">
        <v>664</v>
      </c>
      <c r="AX190" s="223">
        <v>629</v>
      </c>
      <c r="AY190" s="235">
        <v>0.94699999999999995</v>
      </c>
      <c r="AZ190" s="223">
        <v>538</v>
      </c>
      <c r="BA190" s="235">
        <v>0.81</v>
      </c>
      <c r="BB190" s="223">
        <v>534</v>
      </c>
      <c r="BC190" s="232">
        <v>0.80400000000000005</v>
      </c>
    </row>
    <row r="191" spans="1:55" x14ac:dyDescent="0.25">
      <c r="A191" s="226">
        <v>1</v>
      </c>
      <c r="B191" s="211" t="s">
        <v>117</v>
      </c>
      <c r="C191" s="211">
        <v>671</v>
      </c>
      <c r="D191" s="211" t="s">
        <v>367</v>
      </c>
      <c r="E191" s="211">
        <v>283</v>
      </c>
      <c r="F191" s="211">
        <v>283</v>
      </c>
      <c r="G191" s="211"/>
      <c r="H191" s="220" t="str">
        <f>HYPERLINK("https://map.geo.admin.ch/?zoom=7&amp;E=584900&amp;N=202100&amp;layers=ch.kantone.cadastralwebmap-farbe,ch.swisstopo.amtliches-strassenverzeichnis,ch.bfs.gebaeude_wohnungs_register,KML||https://tinyurl.com/yy7ya4g9/BE/0671_bdg_erw.kml","KML building")</f>
        <v>KML building</v>
      </c>
      <c r="I191" s="154">
        <v>0</v>
      </c>
      <c r="J191" s="243" t="s">
        <v>1152</v>
      </c>
      <c r="K191" s="153">
        <v>0</v>
      </c>
      <c r="L191" s="64">
        <v>0</v>
      </c>
      <c r="M191" s="64"/>
      <c r="N191" s="200">
        <v>0</v>
      </c>
      <c r="O191" s="155"/>
      <c r="P191" s="63"/>
      <c r="Q191" s="64">
        <v>0</v>
      </c>
      <c r="R191" s="64"/>
      <c r="S191" s="200">
        <v>0</v>
      </c>
      <c r="T191" s="155"/>
      <c r="U191" s="63"/>
      <c r="V191" s="64">
        <v>0</v>
      </c>
      <c r="W191" s="64"/>
      <c r="X191" s="200">
        <v>0</v>
      </c>
      <c r="Y191" s="155"/>
      <c r="Z191" s="63"/>
      <c r="AA191" s="64">
        <v>0</v>
      </c>
      <c r="AB191" s="64"/>
      <c r="AC191" s="200">
        <v>0</v>
      </c>
      <c r="AD191" s="156"/>
      <c r="AE191" s="153"/>
      <c r="AF191" s="140">
        <v>0</v>
      </c>
      <c r="AG191" s="140"/>
      <c r="AH191" s="200">
        <v>0</v>
      </c>
      <c r="AI191" s="140"/>
      <c r="AJ191" s="153"/>
      <c r="AK191" s="140">
        <v>0</v>
      </c>
      <c r="AL191" s="140"/>
      <c r="AM191" s="200">
        <v>0</v>
      </c>
      <c r="AN191" s="156"/>
      <c r="AO191" s="230">
        <v>0</v>
      </c>
      <c r="AP191" s="223">
        <v>155</v>
      </c>
      <c r="AQ191" s="223">
        <v>138</v>
      </c>
      <c r="AR191" s="235">
        <v>0.89</v>
      </c>
      <c r="AS191" s="223">
        <v>119</v>
      </c>
      <c r="AT191" s="235">
        <v>0.76800000000000002</v>
      </c>
      <c r="AU191" s="223">
        <v>116</v>
      </c>
      <c r="AV191" s="232">
        <v>0.748</v>
      </c>
      <c r="AW191" s="223">
        <v>81</v>
      </c>
      <c r="AX191" s="223">
        <v>79</v>
      </c>
      <c r="AY191" s="235">
        <v>0.97499999999999998</v>
      </c>
      <c r="AZ191" s="223">
        <v>73</v>
      </c>
      <c r="BA191" s="235">
        <v>0.90100000000000002</v>
      </c>
      <c r="BB191" s="223">
        <v>73</v>
      </c>
      <c r="BC191" s="232">
        <v>0.90100000000000002</v>
      </c>
    </row>
    <row r="192" spans="1:55" x14ac:dyDescent="0.25">
      <c r="A192" s="226">
        <v>1</v>
      </c>
      <c r="B192" s="211" t="s">
        <v>117</v>
      </c>
      <c r="C192" s="211">
        <v>681</v>
      </c>
      <c r="D192" s="211" t="s">
        <v>368</v>
      </c>
      <c r="E192" s="211">
        <v>259</v>
      </c>
      <c r="F192" s="211">
        <v>261</v>
      </c>
      <c r="G192" s="211"/>
      <c r="H192" s="220" t="str">
        <f>HYPERLINK("https://map.geo.admin.ch/?zoom=7&amp;E=597500&amp;N=237200&amp;layers=ch.kantone.cadastralwebmap-farbe,ch.swisstopo.amtliches-strassenverzeichnis,ch.bfs.gebaeude_wohnungs_register,KML||https://tinyurl.com/yy7ya4g9/BE/0681_bdg_erw.kml","KML building")</f>
        <v>KML building</v>
      </c>
      <c r="I192" s="154">
        <v>1</v>
      </c>
      <c r="J192" s="243" t="s">
        <v>1153</v>
      </c>
      <c r="K192" s="153">
        <v>3.8610038610038611E-3</v>
      </c>
      <c r="L192" s="64">
        <v>0</v>
      </c>
      <c r="M192" s="64"/>
      <c r="N192" s="200">
        <v>0</v>
      </c>
      <c r="O192" s="155"/>
      <c r="P192" s="63"/>
      <c r="Q192" s="64">
        <v>0</v>
      </c>
      <c r="R192" s="64"/>
      <c r="S192" s="200">
        <v>0</v>
      </c>
      <c r="T192" s="155"/>
      <c r="U192" s="63"/>
      <c r="V192" s="64">
        <v>0</v>
      </c>
      <c r="W192" s="64"/>
      <c r="X192" s="200">
        <v>0</v>
      </c>
      <c r="Y192" s="155"/>
      <c r="Z192" s="63"/>
      <c r="AA192" s="64">
        <v>0</v>
      </c>
      <c r="AB192" s="64"/>
      <c r="AC192" s="200">
        <v>0</v>
      </c>
      <c r="AD192" s="156"/>
      <c r="AE192" s="153"/>
      <c r="AF192" s="140">
        <v>2</v>
      </c>
      <c r="AG192" s="140"/>
      <c r="AH192" s="200">
        <v>7.7000000000000002E-3</v>
      </c>
      <c r="AI192" s="140"/>
      <c r="AJ192" s="153"/>
      <c r="AK192" s="140">
        <v>0</v>
      </c>
      <c r="AL192" s="140"/>
      <c r="AM192" s="200">
        <v>0</v>
      </c>
      <c r="AN192" s="156"/>
      <c r="AO192" s="230">
        <v>7.7000000000000002E-3</v>
      </c>
      <c r="AP192" s="223">
        <v>112</v>
      </c>
      <c r="AQ192" s="223">
        <v>91</v>
      </c>
      <c r="AR192" s="235">
        <v>0.81299999999999994</v>
      </c>
      <c r="AS192" s="223">
        <v>85</v>
      </c>
      <c r="AT192" s="235">
        <v>0.75900000000000001</v>
      </c>
      <c r="AU192" s="223">
        <v>85</v>
      </c>
      <c r="AV192" s="232">
        <v>0.75900000000000001</v>
      </c>
      <c r="AW192" s="223">
        <v>57</v>
      </c>
      <c r="AX192" s="223">
        <v>49</v>
      </c>
      <c r="AY192" s="235">
        <v>0.86</v>
      </c>
      <c r="AZ192" s="223">
        <v>47</v>
      </c>
      <c r="BA192" s="235">
        <v>0.82499999999999996</v>
      </c>
      <c r="BB192" s="223">
        <v>47</v>
      </c>
      <c r="BC192" s="232">
        <v>0.82499999999999996</v>
      </c>
    </row>
    <row r="193" spans="1:55" x14ac:dyDescent="0.25">
      <c r="A193" s="226">
        <v>1</v>
      </c>
      <c r="B193" s="211" t="s">
        <v>117</v>
      </c>
      <c r="C193" s="211">
        <v>683</v>
      </c>
      <c r="D193" s="211" t="s">
        <v>369</v>
      </c>
      <c r="E193" s="211">
        <v>182</v>
      </c>
      <c r="F193" s="211">
        <v>185</v>
      </c>
      <c r="G193" s="211"/>
      <c r="H193" s="220" t="str">
        <f>HYPERLINK("https://map.geo.admin.ch/?zoom=7&amp;E=589400&amp;N=233900&amp;layers=ch.kantone.cadastralwebmap-farbe,ch.swisstopo.amtliches-strassenverzeichnis,ch.bfs.gebaeude_wohnungs_register,KML||https://tinyurl.com/yy7ya4g9/BE/0683_bdg_erw.kml","KML building")</f>
        <v>KML building</v>
      </c>
      <c r="I193" s="154">
        <v>1</v>
      </c>
      <c r="J193" s="243" t="s">
        <v>1154</v>
      </c>
      <c r="K193" s="153">
        <v>5.4945054945054949E-3</v>
      </c>
      <c r="L193" s="64">
        <v>0</v>
      </c>
      <c r="M193" s="64"/>
      <c r="N193" s="200">
        <v>0</v>
      </c>
      <c r="O193" s="155"/>
      <c r="P193" s="63"/>
      <c r="Q193" s="64">
        <v>0</v>
      </c>
      <c r="R193" s="64"/>
      <c r="S193" s="200">
        <v>0</v>
      </c>
      <c r="T193" s="155"/>
      <c r="U193" s="63"/>
      <c r="V193" s="64">
        <v>0</v>
      </c>
      <c r="W193" s="64"/>
      <c r="X193" s="200">
        <v>0</v>
      </c>
      <c r="Y193" s="155"/>
      <c r="Z193" s="63"/>
      <c r="AA193" s="64">
        <v>0</v>
      </c>
      <c r="AB193" s="64"/>
      <c r="AC193" s="200">
        <v>0</v>
      </c>
      <c r="AD193" s="156"/>
      <c r="AE193" s="153"/>
      <c r="AF193" s="140">
        <v>0</v>
      </c>
      <c r="AG193" s="140"/>
      <c r="AH193" s="200">
        <v>0</v>
      </c>
      <c r="AI193" s="140"/>
      <c r="AJ193" s="153"/>
      <c r="AK193" s="140">
        <v>0</v>
      </c>
      <c r="AL193" s="140"/>
      <c r="AM193" s="200">
        <v>0</v>
      </c>
      <c r="AN193" s="156"/>
      <c r="AO193" s="230">
        <v>0</v>
      </c>
      <c r="AP193" s="223">
        <v>98</v>
      </c>
      <c r="AQ193" s="223">
        <v>85</v>
      </c>
      <c r="AR193" s="235">
        <v>0.86699999999999999</v>
      </c>
      <c r="AS193" s="223">
        <v>85</v>
      </c>
      <c r="AT193" s="235">
        <v>0.86699999999999999</v>
      </c>
      <c r="AU193" s="223">
        <v>79</v>
      </c>
      <c r="AV193" s="232">
        <v>0.80600000000000005</v>
      </c>
      <c r="AW193" s="223">
        <v>62</v>
      </c>
      <c r="AX193" s="223">
        <v>59</v>
      </c>
      <c r="AY193" s="235">
        <v>0.95199999999999996</v>
      </c>
      <c r="AZ193" s="223">
        <v>60</v>
      </c>
      <c r="BA193" s="235">
        <v>0.96799999999999997</v>
      </c>
      <c r="BB193" s="223">
        <v>58</v>
      </c>
      <c r="BC193" s="232">
        <v>0.93500000000000005</v>
      </c>
    </row>
    <row r="194" spans="1:55" x14ac:dyDescent="0.25">
      <c r="A194" s="226">
        <v>1</v>
      </c>
      <c r="B194" s="211" t="s">
        <v>117</v>
      </c>
      <c r="C194" s="211">
        <v>687</v>
      </c>
      <c r="D194" s="211" t="s">
        <v>370</v>
      </c>
      <c r="E194" s="211">
        <v>196</v>
      </c>
      <c r="F194" s="211">
        <v>197</v>
      </c>
      <c r="G194" s="211"/>
      <c r="H194" s="220" t="str">
        <f>HYPERLINK("https://map.geo.admin.ch/?zoom=7&amp;E=601200&amp;N=237100&amp;layers=ch.kantone.cadastralwebmap-farbe,ch.swisstopo.amtliches-strassenverzeichnis,ch.bfs.gebaeude_wohnungs_register,KML||https://tinyurl.com/yy7ya4g9/BE/0687_bdg_erw.kml","KML building")</f>
        <v>KML building</v>
      </c>
      <c r="I194" s="154">
        <v>0</v>
      </c>
      <c r="J194" s="243" t="s">
        <v>1155</v>
      </c>
      <c r="K194" s="153">
        <v>0</v>
      </c>
      <c r="L194" s="64">
        <v>0</v>
      </c>
      <c r="M194" s="64"/>
      <c r="N194" s="200">
        <v>0</v>
      </c>
      <c r="O194" s="155"/>
      <c r="P194" s="63"/>
      <c r="Q194" s="64">
        <v>0</v>
      </c>
      <c r="R194" s="64"/>
      <c r="S194" s="200">
        <v>0</v>
      </c>
      <c r="T194" s="155"/>
      <c r="U194" s="63"/>
      <c r="V194" s="64">
        <v>0</v>
      </c>
      <c r="W194" s="64"/>
      <c r="X194" s="200">
        <v>0</v>
      </c>
      <c r="Y194" s="155"/>
      <c r="Z194" s="63"/>
      <c r="AA194" s="64">
        <v>0</v>
      </c>
      <c r="AB194" s="64"/>
      <c r="AC194" s="200">
        <v>0</v>
      </c>
      <c r="AD194" s="156"/>
      <c r="AE194" s="153"/>
      <c r="AF194" s="140">
        <v>0</v>
      </c>
      <c r="AG194" s="140"/>
      <c r="AH194" s="200">
        <v>0</v>
      </c>
      <c r="AI194" s="140"/>
      <c r="AJ194" s="153"/>
      <c r="AK194" s="140">
        <v>0</v>
      </c>
      <c r="AL194" s="140"/>
      <c r="AM194" s="200">
        <v>0</v>
      </c>
      <c r="AN194" s="156"/>
      <c r="AO194" s="230">
        <v>0</v>
      </c>
      <c r="AP194" s="223">
        <v>107</v>
      </c>
      <c r="AQ194" s="223">
        <v>97</v>
      </c>
      <c r="AR194" s="235">
        <v>0.90700000000000003</v>
      </c>
      <c r="AS194" s="223">
        <v>90</v>
      </c>
      <c r="AT194" s="235">
        <v>0.84099999999999997</v>
      </c>
      <c r="AU194" s="223">
        <v>90</v>
      </c>
      <c r="AV194" s="232">
        <v>0.84099999999999997</v>
      </c>
      <c r="AW194" s="223">
        <v>53</v>
      </c>
      <c r="AX194" s="223">
        <v>51</v>
      </c>
      <c r="AY194" s="235">
        <v>0.96199999999999997</v>
      </c>
      <c r="AZ194" s="223">
        <v>51</v>
      </c>
      <c r="BA194" s="235">
        <v>0.96199999999999997</v>
      </c>
      <c r="BB194" s="223">
        <v>51</v>
      </c>
      <c r="BC194" s="232">
        <v>0.96199999999999997</v>
      </c>
    </row>
    <row r="195" spans="1:55" x14ac:dyDescent="0.25">
      <c r="A195" s="226">
        <v>1</v>
      </c>
      <c r="B195" s="211" t="s">
        <v>117</v>
      </c>
      <c r="C195" s="211">
        <v>690</v>
      </c>
      <c r="D195" s="211" t="s">
        <v>371</v>
      </c>
      <c r="E195" s="211">
        <v>1075</v>
      </c>
      <c r="F195" s="211">
        <v>1082</v>
      </c>
      <c r="G195" s="211"/>
      <c r="H195" s="220" t="str">
        <f>HYPERLINK("https://map.geo.admin.ch/?zoom=7&amp;E=592400&amp;N=232100&amp;layers=ch.kantone.cadastralwebmap-farbe,ch.swisstopo.amtliches-strassenverzeichnis,ch.bfs.gebaeude_wohnungs_register,KML||https://tinyurl.com/yy7ya4g9/BE/0690_bdg_erw.kml","KML building")</f>
        <v>KML building</v>
      </c>
      <c r="I195" s="154">
        <v>0</v>
      </c>
      <c r="J195" s="243" t="s">
        <v>1156</v>
      </c>
      <c r="K195" s="153">
        <v>0</v>
      </c>
      <c r="L195" s="64">
        <v>0</v>
      </c>
      <c r="M195" s="64"/>
      <c r="N195" s="200">
        <v>0</v>
      </c>
      <c r="O195" s="155"/>
      <c r="P195" s="63"/>
      <c r="Q195" s="64">
        <v>0</v>
      </c>
      <c r="R195" s="64"/>
      <c r="S195" s="200">
        <v>0</v>
      </c>
      <c r="T195" s="155"/>
      <c r="U195" s="63"/>
      <c r="V195" s="64">
        <v>0</v>
      </c>
      <c r="W195" s="64"/>
      <c r="X195" s="200">
        <v>0</v>
      </c>
      <c r="Y195" s="155"/>
      <c r="Z195" s="63"/>
      <c r="AA195" s="64">
        <v>0</v>
      </c>
      <c r="AB195" s="64"/>
      <c r="AC195" s="200">
        <v>0</v>
      </c>
      <c r="AD195" s="156"/>
      <c r="AE195" s="153"/>
      <c r="AF195" s="140">
        <v>0</v>
      </c>
      <c r="AG195" s="140"/>
      <c r="AH195" s="200">
        <v>0</v>
      </c>
      <c r="AI195" s="140"/>
      <c r="AJ195" s="153"/>
      <c r="AK195" s="140">
        <v>0</v>
      </c>
      <c r="AL195" s="140"/>
      <c r="AM195" s="200">
        <v>0</v>
      </c>
      <c r="AN195" s="156"/>
      <c r="AO195" s="230">
        <v>0</v>
      </c>
      <c r="AP195" s="223">
        <v>580</v>
      </c>
      <c r="AQ195" s="223">
        <v>496</v>
      </c>
      <c r="AR195" s="235">
        <v>0.85499999999999998</v>
      </c>
      <c r="AS195" s="223">
        <v>479</v>
      </c>
      <c r="AT195" s="235">
        <v>0.82599999999999996</v>
      </c>
      <c r="AU195" s="223">
        <v>457</v>
      </c>
      <c r="AV195" s="232">
        <v>0.78800000000000003</v>
      </c>
      <c r="AW195" s="223">
        <v>326</v>
      </c>
      <c r="AX195" s="223">
        <v>324</v>
      </c>
      <c r="AY195" s="235">
        <v>0.99399999999999999</v>
      </c>
      <c r="AZ195" s="223">
        <v>314</v>
      </c>
      <c r="BA195" s="235">
        <v>0.96299999999999997</v>
      </c>
      <c r="BB195" s="223">
        <v>312</v>
      </c>
      <c r="BC195" s="232">
        <v>0.95699999999999996</v>
      </c>
    </row>
    <row r="196" spans="1:55" x14ac:dyDescent="0.25">
      <c r="A196" s="226">
        <v>1</v>
      </c>
      <c r="B196" s="211" t="s">
        <v>117</v>
      </c>
      <c r="C196" s="211">
        <v>691</v>
      </c>
      <c r="D196" s="211" t="s">
        <v>372</v>
      </c>
      <c r="E196" s="211">
        <v>459</v>
      </c>
      <c r="F196" s="211">
        <v>468</v>
      </c>
      <c r="G196" s="211"/>
      <c r="H196" s="220" t="str">
        <f>HYPERLINK("https://map.geo.admin.ch/?zoom=7&amp;E=600100&amp;N=236900&amp;layers=ch.kantone.cadastralwebmap-farbe,ch.swisstopo.amtliches-strassenverzeichnis,ch.bfs.gebaeude_wohnungs_register,KML||https://tinyurl.com/yy7ya4g9/BE/0691_bdg_erw.kml","KML building")</f>
        <v>KML building</v>
      </c>
      <c r="I196" s="154">
        <v>0</v>
      </c>
      <c r="J196" s="243" t="s">
        <v>1157</v>
      </c>
      <c r="K196" s="153">
        <v>0</v>
      </c>
      <c r="L196" s="64">
        <v>0</v>
      </c>
      <c r="M196" s="64"/>
      <c r="N196" s="200">
        <v>0</v>
      </c>
      <c r="O196" s="155"/>
      <c r="P196" s="63"/>
      <c r="Q196" s="64">
        <v>0</v>
      </c>
      <c r="R196" s="64"/>
      <c r="S196" s="200">
        <v>0</v>
      </c>
      <c r="T196" s="155"/>
      <c r="U196" s="63"/>
      <c r="V196" s="64">
        <v>0</v>
      </c>
      <c r="W196" s="64"/>
      <c r="X196" s="200">
        <v>0</v>
      </c>
      <c r="Y196" s="155"/>
      <c r="Z196" s="63"/>
      <c r="AA196" s="64">
        <v>0</v>
      </c>
      <c r="AB196" s="64"/>
      <c r="AC196" s="200">
        <v>0</v>
      </c>
      <c r="AD196" s="156"/>
      <c r="AE196" s="153"/>
      <c r="AF196" s="140">
        <v>0</v>
      </c>
      <c r="AG196" s="140"/>
      <c r="AH196" s="200">
        <v>0</v>
      </c>
      <c r="AI196" s="140"/>
      <c r="AJ196" s="153"/>
      <c r="AK196" s="140">
        <v>0</v>
      </c>
      <c r="AL196" s="140"/>
      <c r="AM196" s="200">
        <v>0</v>
      </c>
      <c r="AN196" s="156"/>
      <c r="AO196" s="230">
        <v>0</v>
      </c>
      <c r="AP196" s="223">
        <v>234</v>
      </c>
      <c r="AQ196" s="223">
        <v>208</v>
      </c>
      <c r="AR196" s="235">
        <v>0.88900000000000001</v>
      </c>
      <c r="AS196" s="223">
        <v>185</v>
      </c>
      <c r="AT196" s="235">
        <v>0.79100000000000004</v>
      </c>
      <c r="AU196" s="223">
        <v>179</v>
      </c>
      <c r="AV196" s="232">
        <v>0.76500000000000001</v>
      </c>
      <c r="AW196" s="223">
        <v>116</v>
      </c>
      <c r="AX196" s="223">
        <v>113</v>
      </c>
      <c r="AY196" s="235">
        <v>0.97399999999999998</v>
      </c>
      <c r="AZ196" s="223">
        <v>107</v>
      </c>
      <c r="BA196" s="235">
        <v>0.92200000000000004</v>
      </c>
      <c r="BB196" s="223">
        <v>105</v>
      </c>
      <c r="BC196" s="232">
        <v>0.90500000000000003</v>
      </c>
    </row>
    <row r="197" spans="1:55" x14ac:dyDescent="0.25">
      <c r="A197" s="226">
        <v>1</v>
      </c>
      <c r="B197" s="211" t="s">
        <v>117</v>
      </c>
      <c r="C197" s="211">
        <v>692</v>
      </c>
      <c r="D197" s="211" t="s">
        <v>373</v>
      </c>
      <c r="E197" s="211">
        <v>248</v>
      </c>
      <c r="F197" s="211">
        <v>379</v>
      </c>
      <c r="G197" s="211"/>
      <c r="H197" s="220" t="str">
        <f>HYPERLINK("https://map.geo.admin.ch/?zoom=7&amp;E=597000&amp;N=236000&amp;layers=ch.kantone.cadastralwebmap-farbe,ch.swisstopo.amtliches-strassenverzeichnis,ch.bfs.gebaeude_wohnungs_register,KML||https://tinyurl.com/yy7ya4g9/BE/0692_bdg_erw.kml","KML building")</f>
        <v>KML building</v>
      </c>
      <c r="I197" s="154">
        <v>0</v>
      </c>
      <c r="J197" s="243" t="s">
        <v>1158</v>
      </c>
      <c r="K197" s="153">
        <v>0</v>
      </c>
      <c r="L197" s="64">
        <v>0</v>
      </c>
      <c r="M197" s="64"/>
      <c r="N197" s="200">
        <v>0</v>
      </c>
      <c r="O197" s="155"/>
      <c r="P197" s="63"/>
      <c r="Q197" s="64">
        <v>0</v>
      </c>
      <c r="R197" s="64"/>
      <c r="S197" s="200">
        <v>0</v>
      </c>
      <c r="T197" s="155"/>
      <c r="U197" s="63"/>
      <c r="V197" s="64">
        <v>0</v>
      </c>
      <c r="W197" s="64"/>
      <c r="X197" s="200">
        <v>0</v>
      </c>
      <c r="Y197" s="155"/>
      <c r="Z197" s="63"/>
      <c r="AA197" s="64">
        <v>0</v>
      </c>
      <c r="AB197" s="64"/>
      <c r="AC197" s="200">
        <v>0</v>
      </c>
      <c r="AD197" s="156"/>
      <c r="AE197" s="153"/>
      <c r="AF197" s="140">
        <v>0</v>
      </c>
      <c r="AG197" s="140"/>
      <c r="AH197" s="200">
        <v>0</v>
      </c>
      <c r="AI197" s="140"/>
      <c r="AJ197" s="153"/>
      <c r="AK197" s="140">
        <v>0</v>
      </c>
      <c r="AL197" s="140"/>
      <c r="AM197" s="200">
        <v>0</v>
      </c>
      <c r="AN197" s="156"/>
      <c r="AO197" s="230">
        <v>0</v>
      </c>
      <c r="AP197" s="223">
        <v>107</v>
      </c>
      <c r="AQ197" s="223">
        <v>89</v>
      </c>
      <c r="AR197" s="235">
        <v>0.83199999999999996</v>
      </c>
      <c r="AS197" s="223">
        <v>83</v>
      </c>
      <c r="AT197" s="235">
        <v>0.77600000000000002</v>
      </c>
      <c r="AU197" s="223">
        <v>76</v>
      </c>
      <c r="AV197" s="232">
        <v>0.71</v>
      </c>
      <c r="AW197" s="223">
        <v>50</v>
      </c>
      <c r="AX197" s="223">
        <v>50</v>
      </c>
      <c r="AY197" s="235">
        <v>1</v>
      </c>
      <c r="AZ197" s="223">
        <v>48</v>
      </c>
      <c r="BA197" s="235">
        <v>0.96</v>
      </c>
      <c r="BB197" s="223">
        <v>48</v>
      </c>
      <c r="BC197" s="232">
        <v>0.96</v>
      </c>
    </row>
    <row r="198" spans="1:55" x14ac:dyDescent="0.25">
      <c r="A198" s="226">
        <v>1</v>
      </c>
      <c r="B198" s="211" t="s">
        <v>117</v>
      </c>
      <c r="C198" s="211">
        <v>694</v>
      </c>
      <c r="D198" s="211" t="s">
        <v>374</v>
      </c>
      <c r="E198" s="211">
        <v>326</v>
      </c>
      <c r="F198" s="211">
        <v>329</v>
      </c>
      <c r="G198" s="211"/>
      <c r="H198" s="220" t="str">
        <f>HYPERLINK("https://map.geo.admin.ch/?zoom=7&amp;E=599000&amp;N=236900&amp;layers=ch.kantone.cadastralwebmap-farbe,ch.swisstopo.amtliches-strassenverzeichnis,ch.bfs.gebaeude_wohnungs_register,KML||https://tinyurl.com/yy7ya4g9/BE/0694_bdg_erw.kml","KML building")</f>
        <v>KML building</v>
      </c>
      <c r="I198" s="154">
        <v>0</v>
      </c>
      <c r="J198" s="243" t="s">
        <v>1159</v>
      </c>
      <c r="K198" s="153">
        <v>0</v>
      </c>
      <c r="L198" s="64">
        <v>0</v>
      </c>
      <c r="M198" s="64"/>
      <c r="N198" s="200">
        <v>0</v>
      </c>
      <c r="O198" s="155"/>
      <c r="P198" s="63"/>
      <c r="Q198" s="64">
        <v>0</v>
      </c>
      <c r="R198" s="64"/>
      <c r="S198" s="200">
        <v>0</v>
      </c>
      <c r="T198" s="155"/>
      <c r="U198" s="63"/>
      <c r="V198" s="64">
        <v>0</v>
      </c>
      <c r="W198" s="64"/>
      <c r="X198" s="200">
        <v>0</v>
      </c>
      <c r="Y198" s="155"/>
      <c r="Z198" s="63"/>
      <c r="AA198" s="64">
        <v>0</v>
      </c>
      <c r="AB198" s="64"/>
      <c r="AC198" s="200">
        <v>0</v>
      </c>
      <c r="AD198" s="156"/>
      <c r="AE198" s="153"/>
      <c r="AF198" s="140">
        <v>0</v>
      </c>
      <c r="AG198" s="140"/>
      <c r="AH198" s="200">
        <v>0</v>
      </c>
      <c r="AI198" s="140"/>
      <c r="AJ198" s="153"/>
      <c r="AK198" s="140">
        <v>1</v>
      </c>
      <c r="AL198" s="140"/>
      <c r="AM198" s="200">
        <v>3.0999999999999999E-3</v>
      </c>
      <c r="AN198" s="156"/>
      <c r="AO198" s="230">
        <v>3.0999999999999999E-3</v>
      </c>
      <c r="AP198" s="223">
        <v>157</v>
      </c>
      <c r="AQ198" s="223">
        <v>141</v>
      </c>
      <c r="AR198" s="235">
        <v>0.89800000000000002</v>
      </c>
      <c r="AS198" s="223">
        <v>126</v>
      </c>
      <c r="AT198" s="235">
        <v>0.80300000000000005</v>
      </c>
      <c r="AU198" s="223">
        <v>126</v>
      </c>
      <c r="AV198" s="232">
        <v>0.80300000000000005</v>
      </c>
      <c r="AW198" s="223">
        <v>81</v>
      </c>
      <c r="AX198" s="223">
        <v>77</v>
      </c>
      <c r="AY198" s="235">
        <v>0.95099999999999996</v>
      </c>
      <c r="AZ198" s="223">
        <v>73</v>
      </c>
      <c r="BA198" s="235">
        <v>0.90100000000000002</v>
      </c>
      <c r="BB198" s="223">
        <v>73</v>
      </c>
      <c r="BC198" s="232">
        <v>0.90100000000000002</v>
      </c>
    </row>
    <row r="199" spans="1:55" x14ac:dyDescent="0.25">
      <c r="A199" s="226">
        <v>1</v>
      </c>
      <c r="B199" s="211" t="s">
        <v>117</v>
      </c>
      <c r="C199" s="211">
        <v>696</v>
      </c>
      <c r="D199" s="211" t="s">
        <v>375</v>
      </c>
      <c r="E199" s="211">
        <v>286</v>
      </c>
      <c r="F199" s="211">
        <v>290</v>
      </c>
      <c r="G199" s="211"/>
      <c r="H199" s="220" t="str">
        <f>HYPERLINK("https://map.geo.admin.ch/?zoom=7&amp;E=584700&amp;N=232400&amp;layers=ch.kantone.cadastralwebmap-farbe,ch.swisstopo.amtliches-strassenverzeichnis,ch.bfs.gebaeude_wohnungs_register,KML||https://tinyurl.com/yy7ya4g9/BE/0696_bdg_erw.kml","KML building")</f>
        <v>KML building</v>
      </c>
      <c r="I199" s="154">
        <v>0</v>
      </c>
      <c r="J199" s="243" t="s">
        <v>1160</v>
      </c>
      <c r="K199" s="153">
        <v>0</v>
      </c>
      <c r="L199" s="64">
        <v>0</v>
      </c>
      <c r="M199" s="64"/>
      <c r="N199" s="200">
        <v>0</v>
      </c>
      <c r="O199" s="155"/>
      <c r="P199" s="63"/>
      <c r="Q199" s="64">
        <v>0</v>
      </c>
      <c r="R199" s="64"/>
      <c r="S199" s="200">
        <v>0</v>
      </c>
      <c r="T199" s="155"/>
      <c r="U199" s="63"/>
      <c r="V199" s="64">
        <v>0</v>
      </c>
      <c r="W199" s="64"/>
      <c r="X199" s="200">
        <v>0</v>
      </c>
      <c r="Y199" s="155"/>
      <c r="Z199" s="63"/>
      <c r="AA199" s="64">
        <v>0</v>
      </c>
      <c r="AB199" s="64"/>
      <c r="AC199" s="200">
        <v>0</v>
      </c>
      <c r="AD199" s="156"/>
      <c r="AE199" s="153"/>
      <c r="AF199" s="140">
        <v>1</v>
      </c>
      <c r="AG199" s="140"/>
      <c r="AH199" s="200">
        <v>3.5000000000000001E-3</v>
      </c>
      <c r="AI199" s="140"/>
      <c r="AJ199" s="153"/>
      <c r="AK199" s="140">
        <v>0</v>
      </c>
      <c r="AL199" s="140"/>
      <c r="AM199" s="200">
        <v>0</v>
      </c>
      <c r="AN199" s="156"/>
      <c r="AO199" s="230">
        <v>3.5000000000000001E-3</v>
      </c>
      <c r="AP199" s="223">
        <v>140</v>
      </c>
      <c r="AQ199" s="223">
        <v>126</v>
      </c>
      <c r="AR199" s="235">
        <v>0.9</v>
      </c>
      <c r="AS199" s="223">
        <v>111</v>
      </c>
      <c r="AT199" s="235">
        <v>0.79300000000000004</v>
      </c>
      <c r="AU199" s="223">
        <v>106</v>
      </c>
      <c r="AV199" s="232">
        <v>0.75700000000000001</v>
      </c>
      <c r="AW199" s="223">
        <v>90</v>
      </c>
      <c r="AX199" s="223">
        <v>88</v>
      </c>
      <c r="AY199" s="235">
        <v>0.97799999999999998</v>
      </c>
      <c r="AZ199" s="223">
        <v>78</v>
      </c>
      <c r="BA199" s="235">
        <v>0.86699999999999999</v>
      </c>
      <c r="BB199" s="223">
        <v>76</v>
      </c>
      <c r="BC199" s="232">
        <v>0.84399999999999997</v>
      </c>
    </row>
    <row r="200" spans="1:55" x14ac:dyDescent="0.25">
      <c r="A200" s="226">
        <v>1</v>
      </c>
      <c r="B200" s="211" t="s">
        <v>117</v>
      </c>
      <c r="C200" s="211">
        <v>700</v>
      </c>
      <c r="D200" s="211" t="s">
        <v>376</v>
      </c>
      <c r="E200" s="211">
        <v>2888</v>
      </c>
      <c r="F200" s="211">
        <v>2961</v>
      </c>
      <c r="G200" s="211"/>
      <c r="H200" s="220" t="str">
        <f>HYPERLINK("https://map.geo.admin.ch/?zoom=7&amp;E=594900&amp;N=236500&amp;layers=ch.kantone.cadastralwebmap-farbe,ch.swisstopo.amtliches-strassenverzeichnis,ch.bfs.gebaeude_wohnungs_register,KML||https://tinyurl.com/yy7ya4g9/BE/0700_bdg_erw.kml","KML building")</f>
        <v>KML building</v>
      </c>
      <c r="I200" s="154">
        <v>0</v>
      </c>
      <c r="J200" s="243" t="s">
        <v>1161</v>
      </c>
      <c r="K200" s="153">
        <v>0</v>
      </c>
      <c r="L200" s="64">
        <v>0</v>
      </c>
      <c r="M200" s="64"/>
      <c r="N200" s="200">
        <v>0</v>
      </c>
      <c r="O200" s="155"/>
      <c r="P200" s="63"/>
      <c r="Q200" s="64">
        <v>0</v>
      </c>
      <c r="R200" s="64"/>
      <c r="S200" s="200">
        <v>0</v>
      </c>
      <c r="T200" s="155"/>
      <c r="U200" s="63"/>
      <c r="V200" s="64">
        <v>0</v>
      </c>
      <c r="W200" s="64"/>
      <c r="X200" s="200">
        <v>0</v>
      </c>
      <c r="Y200" s="155"/>
      <c r="Z200" s="63"/>
      <c r="AA200" s="64">
        <v>0</v>
      </c>
      <c r="AB200" s="64"/>
      <c r="AC200" s="200">
        <v>0</v>
      </c>
      <c r="AD200" s="156"/>
      <c r="AE200" s="153"/>
      <c r="AF200" s="140">
        <v>1</v>
      </c>
      <c r="AG200" s="140"/>
      <c r="AH200" s="200">
        <v>2.9999999999999997E-4</v>
      </c>
      <c r="AI200" s="140"/>
      <c r="AJ200" s="153"/>
      <c r="AK200" s="140">
        <v>1</v>
      </c>
      <c r="AL200" s="140"/>
      <c r="AM200" s="200">
        <v>2.9999999999999997E-4</v>
      </c>
      <c r="AN200" s="156"/>
      <c r="AO200" s="230">
        <v>5.9999999999999995E-4</v>
      </c>
      <c r="AP200" s="223">
        <v>1181</v>
      </c>
      <c r="AQ200" s="223">
        <v>910</v>
      </c>
      <c r="AR200" s="235">
        <v>0.77100000000000002</v>
      </c>
      <c r="AS200" s="223">
        <v>888</v>
      </c>
      <c r="AT200" s="235">
        <v>0.752</v>
      </c>
      <c r="AU200" s="223">
        <v>817</v>
      </c>
      <c r="AV200" s="232">
        <v>0.69199999999999995</v>
      </c>
      <c r="AW200" s="223">
        <v>671</v>
      </c>
      <c r="AX200" s="223">
        <v>596</v>
      </c>
      <c r="AY200" s="235">
        <v>0.88800000000000001</v>
      </c>
      <c r="AZ200" s="223">
        <v>561</v>
      </c>
      <c r="BA200" s="235">
        <v>0.83599999999999997</v>
      </c>
      <c r="BB200" s="223">
        <v>554</v>
      </c>
      <c r="BC200" s="232">
        <v>0.82599999999999996</v>
      </c>
    </row>
    <row r="201" spans="1:55" x14ac:dyDescent="0.25">
      <c r="A201" s="226">
        <v>1</v>
      </c>
      <c r="B201" s="211" t="s">
        <v>117</v>
      </c>
      <c r="C201" s="211">
        <v>701</v>
      </c>
      <c r="D201" s="211" t="s">
        <v>377</v>
      </c>
      <c r="E201" s="211">
        <v>364</v>
      </c>
      <c r="F201" s="211">
        <v>364</v>
      </c>
      <c r="G201" s="211"/>
      <c r="H201" s="220" t="str">
        <f>HYPERLINK("https://map.geo.admin.ch/?zoom=7&amp;E=592700&amp;N=236000&amp;layers=ch.kantone.cadastralwebmap-farbe,ch.swisstopo.amtliches-strassenverzeichnis,ch.bfs.gebaeude_wohnungs_register,KML||https://tinyurl.com/yy7ya4g9/BE/0701_bdg_erw.kml","KML building")</f>
        <v>KML building</v>
      </c>
      <c r="I201" s="154">
        <v>0</v>
      </c>
      <c r="J201" s="243" t="s">
        <v>1162</v>
      </c>
      <c r="K201" s="153">
        <v>0</v>
      </c>
      <c r="L201" s="64">
        <v>0</v>
      </c>
      <c r="M201" s="64"/>
      <c r="N201" s="200">
        <v>0</v>
      </c>
      <c r="O201" s="155"/>
      <c r="P201" s="63"/>
      <c r="Q201" s="64">
        <v>0</v>
      </c>
      <c r="R201" s="64"/>
      <c r="S201" s="200">
        <v>0</v>
      </c>
      <c r="T201" s="155"/>
      <c r="U201" s="63"/>
      <c r="V201" s="64">
        <v>8</v>
      </c>
      <c r="W201" s="64"/>
      <c r="X201" s="200">
        <v>2.1999999999999999E-2</v>
      </c>
      <c r="Y201" s="155"/>
      <c r="Z201" s="63"/>
      <c r="AA201" s="64">
        <v>0</v>
      </c>
      <c r="AB201" s="64"/>
      <c r="AC201" s="200">
        <v>0</v>
      </c>
      <c r="AD201" s="156"/>
      <c r="AE201" s="153"/>
      <c r="AF201" s="140">
        <v>0</v>
      </c>
      <c r="AG201" s="140"/>
      <c r="AH201" s="200">
        <v>0</v>
      </c>
      <c r="AI201" s="140"/>
      <c r="AJ201" s="153"/>
      <c r="AK201" s="140">
        <v>0</v>
      </c>
      <c r="AL201" s="140"/>
      <c r="AM201" s="200">
        <v>0</v>
      </c>
      <c r="AN201" s="156"/>
      <c r="AO201" s="230">
        <v>2.1999999999999999E-2</v>
      </c>
      <c r="AP201" s="223">
        <v>173</v>
      </c>
      <c r="AQ201" s="223">
        <v>137</v>
      </c>
      <c r="AR201" s="235">
        <v>0.79200000000000004</v>
      </c>
      <c r="AS201" s="223">
        <v>131</v>
      </c>
      <c r="AT201" s="235">
        <v>0.75700000000000001</v>
      </c>
      <c r="AU201" s="223">
        <v>127</v>
      </c>
      <c r="AV201" s="232">
        <v>0.73399999999999999</v>
      </c>
      <c r="AW201" s="223">
        <v>82</v>
      </c>
      <c r="AX201" s="223">
        <v>76</v>
      </c>
      <c r="AY201" s="235">
        <v>0.92700000000000005</v>
      </c>
      <c r="AZ201" s="223">
        <v>73</v>
      </c>
      <c r="BA201" s="235">
        <v>0.89</v>
      </c>
      <c r="BB201" s="223">
        <v>71</v>
      </c>
      <c r="BC201" s="232">
        <v>0.86599999999999999</v>
      </c>
    </row>
    <row r="202" spans="1:55" x14ac:dyDescent="0.25">
      <c r="A202" s="226">
        <v>1</v>
      </c>
      <c r="B202" s="211" t="s">
        <v>117</v>
      </c>
      <c r="C202" s="211">
        <v>703</v>
      </c>
      <c r="D202" s="211" t="s">
        <v>378</v>
      </c>
      <c r="E202" s="211">
        <v>1273</v>
      </c>
      <c r="F202" s="211">
        <v>1276</v>
      </c>
      <c r="G202" s="211"/>
      <c r="H202" s="220" t="str">
        <f>HYPERLINK("https://map.geo.admin.ch/?zoom=7&amp;E=583800&amp;N=231600&amp;layers=ch.kantone.cadastralwebmap-farbe,ch.swisstopo.amtliches-strassenverzeichnis,ch.bfs.gebaeude_wohnungs_register,KML||https://tinyurl.com/yy7ya4g9/BE/0703_bdg_erw.kml","KML building")</f>
        <v>KML building</v>
      </c>
      <c r="I202" s="154">
        <v>1</v>
      </c>
      <c r="J202" s="243" t="s">
        <v>1163</v>
      </c>
      <c r="K202" s="153">
        <v>7.855459544383347E-4</v>
      </c>
      <c r="L202" s="64">
        <v>0</v>
      </c>
      <c r="M202" s="64"/>
      <c r="N202" s="200">
        <v>0</v>
      </c>
      <c r="O202" s="155"/>
      <c r="P202" s="63"/>
      <c r="Q202" s="64">
        <v>0</v>
      </c>
      <c r="R202" s="64"/>
      <c r="S202" s="200">
        <v>0</v>
      </c>
      <c r="T202" s="155"/>
      <c r="U202" s="63"/>
      <c r="V202" s="64">
        <v>0</v>
      </c>
      <c r="W202" s="64"/>
      <c r="X202" s="200">
        <v>0</v>
      </c>
      <c r="Y202" s="155"/>
      <c r="Z202" s="63"/>
      <c r="AA202" s="64">
        <v>0</v>
      </c>
      <c r="AB202" s="64"/>
      <c r="AC202" s="200">
        <v>0</v>
      </c>
      <c r="AD202" s="156"/>
      <c r="AE202" s="153"/>
      <c r="AF202" s="140">
        <v>0</v>
      </c>
      <c r="AG202" s="140"/>
      <c r="AH202" s="200">
        <v>0</v>
      </c>
      <c r="AI202" s="140"/>
      <c r="AJ202" s="153"/>
      <c r="AK202" s="140">
        <v>0</v>
      </c>
      <c r="AL202" s="140"/>
      <c r="AM202" s="200">
        <v>0</v>
      </c>
      <c r="AN202" s="156"/>
      <c r="AO202" s="230">
        <v>0</v>
      </c>
      <c r="AP202" s="223">
        <v>603</v>
      </c>
      <c r="AQ202" s="223">
        <v>495</v>
      </c>
      <c r="AR202" s="235">
        <v>0.82099999999999995</v>
      </c>
      <c r="AS202" s="223">
        <v>507</v>
      </c>
      <c r="AT202" s="235">
        <v>0.84099999999999997</v>
      </c>
      <c r="AU202" s="223">
        <v>455</v>
      </c>
      <c r="AV202" s="232">
        <v>0.755</v>
      </c>
      <c r="AW202" s="223">
        <v>325</v>
      </c>
      <c r="AX202" s="223">
        <v>303</v>
      </c>
      <c r="AY202" s="235">
        <v>0.93200000000000005</v>
      </c>
      <c r="AZ202" s="223">
        <v>296</v>
      </c>
      <c r="BA202" s="235">
        <v>0.91100000000000003</v>
      </c>
      <c r="BB202" s="223">
        <v>289</v>
      </c>
      <c r="BC202" s="232">
        <v>0.88900000000000001</v>
      </c>
    </row>
    <row r="203" spans="1:55" x14ac:dyDescent="0.25">
      <c r="A203" s="226">
        <v>1</v>
      </c>
      <c r="B203" s="211" t="s">
        <v>117</v>
      </c>
      <c r="C203" s="211">
        <v>704</v>
      </c>
      <c r="D203" s="211" t="s">
        <v>379</v>
      </c>
      <c r="E203" s="211">
        <v>225</v>
      </c>
      <c r="F203" s="211">
        <v>226</v>
      </c>
      <c r="G203" s="211"/>
      <c r="H203" s="220" t="str">
        <f>HYPERLINK("https://map.geo.admin.ch/?zoom=7&amp;E=595900&amp;N=239000&amp;layers=ch.kantone.cadastralwebmap-farbe,ch.swisstopo.amtliches-strassenverzeichnis,ch.bfs.gebaeude_wohnungs_register,KML||https://tinyurl.com/yy7ya4g9/BE/0704_bdg_erw.kml","KML building")</f>
        <v>KML building</v>
      </c>
      <c r="I203" s="154">
        <v>0</v>
      </c>
      <c r="J203" s="243" t="s">
        <v>1164</v>
      </c>
      <c r="K203" s="153">
        <v>0</v>
      </c>
      <c r="L203" s="64">
        <v>0</v>
      </c>
      <c r="M203" s="64"/>
      <c r="N203" s="200">
        <v>0</v>
      </c>
      <c r="O203" s="155"/>
      <c r="P203" s="63"/>
      <c r="Q203" s="64">
        <v>0</v>
      </c>
      <c r="R203" s="64"/>
      <c r="S203" s="200">
        <v>0</v>
      </c>
      <c r="T203" s="155"/>
      <c r="U203" s="63"/>
      <c r="V203" s="64">
        <v>0</v>
      </c>
      <c r="W203" s="64"/>
      <c r="X203" s="200">
        <v>0</v>
      </c>
      <c r="Y203" s="155"/>
      <c r="Z203" s="63"/>
      <c r="AA203" s="64">
        <v>0</v>
      </c>
      <c r="AB203" s="64"/>
      <c r="AC203" s="200">
        <v>0</v>
      </c>
      <c r="AD203" s="156"/>
      <c r="AE203" s="153"/>
      <c r="AF203" s="140">
        <v>0</v>
      </c>
      <c r="AG203" s="140"/>
      <c r="AH203" s="200">
        <v>0</v>
      </c>
      <c r="AI203" s="140"/>
      <c r="AJ203" s="153"/>
      <c r="AK203" s="140">
        <v>0</v>
      </c>
      <c r="AL203" s="140"/>
      <c r="AM203" s="200">
        <v>0</v>
      </c>
      <c r="AN203" s="156"/>
      <c r="AO203" s="230">
        <v>0</v>
      </c>
      <c r="AP203" s="223">
        <v>131</v>
      </c>
      <c r="AQ203" s="223">
        <v>117</v>
      </c>
      <c r="AR203" s="235">
        <v>0.89300000000000002</v>
      </c>
      <c r="AS203" s="223">
        <v>94</v>
      </c>
      <c r="AT203" s="235">
        <v>0.71799999999999997</v>
      </c>
      <c r="AU203" s="223">
        <v>92</v>
      </c>
      <c r="AV203" s="232">
        <v>0.70199999999999996</v>
      </c>
      <c r="AW203" s="223">
        <v>67</v>
      </c>
      <c r="AX203" s="223">
        <v>64</v>
      </c>
      <c r="AY203" s="235">
        <v>0.95499999999999996</v>
      </c>
      <c r="AZ203" s="223">
        <v>58</v>
      </c>
      <c r="BA203" s="235">
        <v>0.86599999999999999</v>
      </c>
      <c r="BB203" s="223">
        <v>58</v>
      </c>
      <c r="BC203" s="232">
        <v>0.86599999999999999</v>
      </c>
    </row>
    <row r="204" spans="1:55" x14ac:dyDescent="0.25">
      <c r="A204" s="226">
        <v>1</v>
      </c>
      <c r="B204" s="211" t="s">
        <v>117</v>
      </c>
      <c r="C204" s="211">
        <v>706</v>
      </c>
      <c r="D204" s="211" t="s">
        <v>380</v>
      </c>
      <c r="E204" s="211">
        <v>497</v>
      </c>
      <c r="F204" s="211">
        <v>497</v>
      </c>
      <c r="G204" s="211"/>
      <c r="H204" s="220" t="str">
        <f>HYPERLINK("https://map.geo.admin.ch/?zoom=7&amp;E=582500&amp;N=232500&amp;layers=ch.kantone.cadastralwebmap-farbe,ch.swisstopo.amtliches-strassenverzeichnis,ch.bfs.gebaeude_wohnungs_register,KML||https://tinyurl.com/yy7ya4g9/BE/0706_bdg_erw.kml","KML building")</f>
        <v>KML building</v>
      </c>
      <c r="I204" s="154">
        <v>0</v>
      </c>
      <c r="J204" s="243" t="s">
        <v>1165</v>
      </c>
      <c r="K204" s="153">
        <v>0</v>
      </c>
      <c r="L204" s="64">
        <v>0</v>
      </c>
      <c r="M204" s="64"/>
      <c r="N204" s="200">
        <v>0</v>
      </c>
      <c r="O204" s="155"/>
      <c r="P204" s="63"/>
      <c r="Q204" s="64">
        <v>0</v>
      </c>
      <c r="R204" s="64"/>
      <c r="S204" s="200">
        <v>0</v>
      </c>
      <c r="T204" s="155"/>
      <c r="U204" s="63"/>
      <c r="V204" s="64">
        <v>0</v>
      </c>
      <c r="W204" s="64"/>
      <c r="X204" s="200">
        <v>0</v>
      </c>
      <c r="Y204" s="155"/>
      <c r="Z204" s="63"/>
      <c r="AA204" s="64">
        <v>0</v>
      </c>
      <c r="AB204" s="64"/>
      <c r="AC204" s="200">
        <v>0</v>
      </c>
      <c r="AD204" s="156"/>
      <c r="AE204" s="153"/>
      <c r="AF204" s="140">
        <v>0</v>
      </c>
      <c r="AG204" s="140"/>
      <c r="AH204" s="200">
        <v>0</v>
      </c>
      <c r="AI204" s="140"/>
      <c r="AJ204" s="153"/>
      <c r="AK204" s="140">
        <v>1</v>
      </c>
      <c r="AL204" s="140"/>
      <c r="AM204" s="200">
        <v>2E-3</v>
      </c>
      <c r="AN204" s="156"/>
      <c r="AO204" s="230">
        <v>2E-3</v>
      </c>
      <c r="AP204" s="223">
        <v>230</v>
      </c>
      <c r="AQ204" s="223">
        <v>197</v>
      </c>
      <c r="AR204" s="235">
        <v>0.85699999999999998</v>
      </c>
      <c r="AS204" s="223">
        <v>184</v>
      </c>
      <c r="AT204" s="235">
        <v>0.8</v>
      </c>
      <c r="AU204" s="223">
        <v>168</v>
      </c>
      <c r="AV204" s="232">
        <v>0.73</v>
      </c>
      <c r="AW204" s="223">
        <v>131</v>
      </c>
      <c r="AX204" s="223">
        <v>118</v>
      </c>
      <c r="AY204" s="235">
        <v>0.90100000000000002</v>
      </c>
      <c r="AZ204" s="223">
        <v>113</v>
      </c>
      <c r="BA204" s="235">
        <v>0.86299999999999999</v>
      </c>
      <c r="BB204" s="223">
        <v>106</v>
      </c>
      <c r="BC204" s="232">
        <v>0.80900000000000005</v>
      </c>
    </row>
    <row r="205" spans="1:55" x14ac:dyDescent="0.25">
      <c r="A205" s="226">
        <v>1</v>
      </c>
      <c r="B205" s="211" t="s">
        <v>117</v>
      </c>
      <c r="C205" s="211">
        <v>707</v>
      </c>
      <c r="D205" s="211" t="s">
        <v>381</v>
      </c>
      <c r="E205" s="211">
        <v>165</v>
      </c>
      <c r="F205" s="211">
        <v>167</v>
      </c>
      <c r="G205" s="211"/>
      <c r="H205" s="220" t="str">
        <f>HYPERLINK("https://map.geo.admin.ch/?zoom=7&amp;E=583400&amp;N=232700&amp;layers=ch.kantone.cadastralwebmap-farbe,ch.swisstopo.amtliches-strassenverzeichnis,ch.bfs.gebaeude_wohnungs_register,KML||https://tinyurl.com/yy7ya4g9/BE/0707_bdg_erw.kml","KML building")</f>
        <v>KML building</v>
      </c>
      <c r="I205" s="154">
        <v>1</v>
      </c>
      <c r="J205" s="243" t="s">
        <v>1166</v>
      </c>
      <c r="K205" s="153">
        <v>6.0606060606060606E-3</v>
      </c>
      <c r="L205" s="64">
        <v>0</v>
      </c>
      <c r="M205" s="64"/>
      <c r="N205" s="200">
        <v>0</v>
      </c>
      <c r="O205" s="155"/>
      <c r="P205" s="63"/>
      <c r="Q205" s="64">
        <v>0</v>
      </c>
      <c r="R205" s="64"/>
      <c r="S205" s="200">
        <v>0</v>
      </c>
      <c r="T205" s="155"/>
      <c r="U205" s="63"/>
      <c r="V205" s="64">
        <v>0</v>
      </c>
      <c r="W205" s="64"/>
      <c r="X205" s="200">
        <v>0</v>
      </c>
      <c r="Y205" s="155"/>
      <c r="Z205" s="63"/>
      <c r="AA205" s="64">
        <v>0</v>
      </c>
      <c r="AB205" s="64"/>
      <c r="AC205" s="200">
        <v>0</v>
      </c>
      <c r="AD205" s="156"/>
      <c r="AE205" s="153"/>
      <c r="AF205" s="140">
        <v>0</v>
      </c>
      <c r="AG205" s="140"/>
      <c r="AH205" s="200">
        <v>0</v>
      </c>
      <c r="AI205" s="140"/>
      <c r="AJ205" s="153"/>
      <c r="AK205" s="140">
        <v>0</v>
      </c>
      <c r="AL205" s="140"/>
      <c r="AM205" s="200">
        <v>0</v>
      </c>
      <c r="AN205" s="156"/>
      <c r="AO205" s="230">
        <v>0</v>
      </c>
      <c r="AP205" s="223">
        <v>82</v>
      </c>
      <c r="AQ205" s="223">
        <v>73</v>
      </c>
      <c r="AR205" s="235">
        <v>0.89</v>
      </c>
      <c r="AS205" s="223">
        <v>72</v>
      </c>
      <c r="AT205" s="235">
        <v>0.878</v>
      </c>
      <c r="AU205" s="223">
        <v>67</v>
      </c>
      <c r="AV205" s="232">
        <v>0.81699999999999995</v>
      </c>
      <c r="AW205" s="223">
        <v>43</v>
      </c>
      <c r="AX205" s="223">
        <v>43</v>
      </c>
      <c r="AY205" s="235">
        <v>1</v>
      </c>
      <c r="AZ205" s="223">
        <v>40</v>
      </c>
      <c r="BA205" s="235">
        <v>0.93</v>
      </c>
      <c r="BB205" s="223">
        <v>40</v>
      </c>
      <c r="BC205" s="232">
        <v>0.93</v>
      </c>
    </row>
    <row r="206" spans="1:55" x14ac:dyDescent="0.25">
      <c r="A206" s="226">
        <v>1</v>
      </c>
      <c r="B206" s="211" t="s">
        <v>117</v>
      </c>
      <c r="C206" s="211">
        <v>708</v>
      </c>
      <c r="D206" s="211" t="s">
        <v>382</v>
      </c>
      <c r="E206" s="211">
        <v>50</v>
      </c>
      <c r="F206" s="211">
        <v>51</v>
      </c>
      <c r="G206" s="211"/>
      <c r="H206" s="220" t="str">
        <f>HYPERLINK("https://map.geo.admin.ch/?zoom=7&amp;E=608500&amp;N=242500&amp;layers=ch.kantone.cadastralwebmap-farbe,ch.swisstopo.amtliches-strassenverzeichnis,ch.bfs.gebaeude_wohnungs_register,KML||https://tinyurl.com/yy7ya4g9/BE/0708_bdg_erw.kml","KML building")</f>
        <v>KML building</v>
      </c>
      <c r="I206" s="154">
        <v>0</v>
      </c>
      <c r="J206" s="243" t="s">
        <v>1167</v>
      </c>
      <c r="K206" s="153">
        <v>0</v>
      </c>
      <c r="L206" s="64">
        <v>0</v>
      </c>
      <c r="M206" s="64"/>
      <c r="N206" s="200">
        <v>0</v>
      </c>
      <c r="O206" s="155"/>
      <c r="P206" s="63"/>
      <c r="Q206" s="64">
        <v>0</v>
      </c>
      <c r="R206" s="64"/>
      <c r="S206" s="200">
        <v>0</v>
      </c>
      <c r="T206" s="155"/>
      <c r="U206" s="63"/>
      <c r="V206" s="64">
        <v>0</v>
      </c>
      <c r="W206" s="64"/>
      <c r="X206" s="200">
        <v>0</v>
      </c>
      <c r="Y206" s="155"/>
      <c r="Z206" s="63"/>
      <c r="AA206" s="64">
        <v>0</v>
      </c>
      <c r="AB206" s="64"/>
      <c r="AC206" s="200">
        <v>0</v>
      </c>
      <c r="AD206" s="156"/>
      <c r="AE206" s="153"/>
      <c r="AF206" s="140">
        <v>0</v>
      </c>
      <c r="AG206" s="140"/>
      <c r="AH206" s="200">
        <v>0</v>
      </c>
      <c r="AI206" s="140"/>
      <c r="AJ206" s="153"/>
      <c r="AK206" s="140">
        <v>0</v>
      </c>
      <c r="AL206" s="140"/>
      <c r="AM206" s="200">
        <v>0</v>
      </c>
      <c r="AN206" s="156"/>
      <c r="AO206" s="230">
        <v>0</v>
      </c>
      <c r="AP206" s="223">
        <v>34</v>
      </c>
      <c r="AQ206" s="223">
        <v>33</v>
      </c>
      <c r="AR206" s="235">
        <v>0.97099999999999997</v>
      </c>
      <c r="AS206" s="223">
        <v>29</v>
      </c>
      <c r="AT206" s="235">
        <v>0.85299999999999998</v>
      </c>
      <c r="AU206" s="223">
        <v>29</v>
      </c>
      <c r="AV206" s="232">
        <v>0.85299999999999998</v>
      </c>
      <c r="AW206" s="223">
        <v>29</v>
      </c>
      <c r="AX206" s="223">
        <v>29</v>
      </c>
      <c r="AY206" s="235">
        <v>1</v>
      </c>
      <c r="AZ206" s="223">
        <v>27</v>
      </c>
      <c r="BA206" s="235">
        <v>0.93100000000000005</v>
      </c>
      <c r="BB206" s="223">
        <v>27</v>
      </c>
      <c r="BC206" s="232">
        <v>0.93100000000000005</v>
      </c>
    </row>
    <row r="207" spans="1:55" x14ac:dyDescent="0.25">
      <c r="A207" s="226">
        <v>1</v>
      </c>
      <c r="B207" s="211" t="s">
        <v>117</v>
      </c>
      <c r="C207" s="211">
        <v>709</v>
      </c>
      <c r="D207" s="211" t="s">
        <v>383</v>
      </c>
      <c r="E207" s="211">
        <v>103</v>
      </c>
      <c r="F207" s="211">
        <v>105</v>
      </c>
      <c r="G207" s="211"/>
      <c r="H207" s="220" t="str">
        <f>HYPERLINK("https://map.geo.admin.ch/?zoom=7&amp;E=606200&amp;N=239300&amp;layers=ch.kantone.cadastralwebmap-farbe,ch.swisstopo.amtliches-strassenverzeichnis,ch.bfs.gebaeude_wohnungs_register,KML||https://tinyurl.com/yy7ya4g9/BE/0709_bdg_erw.kml","KML building")</f>
        <v>KML building</v>
      </c>
      <c r="I207" s="154">
        <v>0</v>
      </c>
      <c r="J207" s="243" t="s">
        <v>1168</v>
      </c>
      <c r="K207" s="153">
        <v>0</v>
      </c>
      <c r="L207" s="64">
        <v>0</v>
      </c>
      <c r="M207" s="64"/>
      <c r="N207" s="200">
        <v>0</v>
      </c>
      <c r="O207" s="155"/>
      <c r="P207" s="63"/>
      <c r="Q207" s="64">
        <v>0</v>
      </c>
      <c r="R207" s="64"/>
      <c r="S207" s="200">
        <v>0</v>
      </c>
      <c r="T207" s="155"/>
      <c r="U207" s="63"/>
      <c r="V207" s="64">
        <v>0</v>
      </c>
      <c r="W207" s="64"/>
      <c r="X207" s="200">
        <v>0</v>
      </c>
      <c r="Y207" s="155"/>
      <c r="Z207" s="63"/>
      <c r="AA207" s="64">
        <v>2</v>
      </c>
      <c r="AB207" s="64"/>
      <c r="AC207" s="200">
        <v>1.9E-2</v>
      </c>
      <c r="AD207" s="156"/>
      <c r="AE207" s="153"/>
      <c r="AF207" s="140">
        <v>0</v>
      </c>
      <c r="AG207" s="140"/>
      <c r="AH207" s="200">
        <v>0</v>
      </c>
      <c r="AI207" s="140"/>
      <c r="AJ207" s="153"/>
      <c r="AK207" s="140">
        <v>0</v>
      </c>
      <c r="AL207" s="140"/>
      <c r="AM207" s="200">
        <v>0</v>
      </c>
      <c r="AN207" s="156"/>
      <c r="AO207" s="230">
        <v>1.9E-2</v>
      </c>
      <c r="AP207" s="223">
        <v>77</v>
      </c>
      <c r="AQ207" s="223">
        <v>70</v>
      </c>
      <c r="AR207" s="235">
        <v>0.90900000000000003</v>
      </c>
      <c r="AS207" s="223">
        <v>60</v>
      </c>
      <c r="AT207" s="235">
        <v>0.77900000000000003</v>
      </c>
      <c r="AU207" s="223">
        <v>59</v>
      </c>
      <c r="AV207" s="232">
        <v>0.76600000000000001</v>
      </c>
      <c r="AW207" s="223">
        <v>53</v>
      </c>
      <c r="AX207" s="223">
        <v>52</v>
      </c>
      <c r="AY207" s="235">
        <v>0.98099999999999998</v>
      </c>
      <c r="AZ207" s="223">
        <v>49</v>
      </c>
      <c r="BA207" s="235">
        <v>0.92500000000000004</v>
      </c>
      <c r="BB207" s="223">
        <v>48</v>
      </c>
      <c r="BC207" s="232">
        <v>0.90600000000000003</v>
      </c>
    </row>
    <row r="208" spans="1:55" x14ac:dyDescent="0.25">
      <c r="A208" s="226">
        <v>1</v>
      </c>
      <c r="B208" s="211" t="s">
        <v>117</v>
      </c>
      <c r="C208" s="211">
        <v>711</v>
      </c>
      <c r="D208" s="211" t="s">
        <v>384</v>
      </c>
      <c r="E208" s="211">
        <v>265</v>
      </c>
      <c r="F208" s="211">
        <v>265</v>
      </c>
      <c r="G208" s="211"/>
      <c r="H208" s="220" t="str">
        <f>HYPERLINK("https://map.geo.admin.ch/?zoom=7&amp;E=589900&amp;N=232000&amp;layers=ch.kantone.cadastralwebmap-farbe,ch.swisstopo.amtliches-strassenverzeichnis,ch.bfs.gebaeude_wohnungs_register,KML||https://tinyurl.com/yy7ya4g9/BE/0711_bdg_erw.kml","KML building")</f>
        <v>KML building</v>
      </c>
      <c r="I208" s="154">
        <v>0</v>
      </c>
      <c r="J208" s="243" t="s">
        <v>1169</v>
      </c>
      <c r="K208" s="153">
        <v>0</v>
      </c>
      <c r="L208" s="64">
        <v>0</v>
      </c>
      <c r="M208" s="64"/>
      <c r="N208" s="200">
        <v>0</v>
      </c>
      <c r="O208" s="155"/>
      <c r="P208" s="63"/>
      <c r="Q208" s="64">
        <v>0</v>
      </c>
      <c r="R208" s="64"/>
      <c r="S208" s="200">
        <v>0</v>
      </c>
      <c r="T208" s="155"/>
      <c r="U208" s="63"/>
      <c r="V208" s="64">
        <v>0</v>
      </c>
      <c r="W208" s="64"/>
      <c r="X208" s="200">
        <v>0</v>
      </c>
      <c r="Y208" s="155"/>
      <c r="Z208" s="63"/>
      <c r="AA208" s="64">
        <v>0</v>
      </c>
      <c r="AB208" s="64"/>
      <c r="AC208" s="200">
        <v>0</v>
      </c>
      <c r="AD208" s="156"/>
      <c r="AE208" s="153"/>
      <c r="AF208" s="140">
        <v>1</v>
      </c>
      <c r="AG208" s="140"/>
      <c r="AH208" s="200">
        <v>3.8E-3</v>
      </c>
      <c r="AI208" s="140"/>
      <c r="AJ208" s="153"/>
      <c r="AK208" s="140">
        <v>0</v>
      </c>
      <c r="AL208" s="140"/>
      <c r="AM208" s="200">
        <v>0</v>
      </c>
      <c r="AN208" s="156"/>
      <c r="AO208" s="230">
        <v>3.8E-3</v>
      </c>
      <c r="AP208" s="223">
        <v>139</v>
      </c>
      <c r="AQ208" s="223">
        <v>110</v>
      </c>
      <c r="AR208" s="235">
        <v>0.79100000000000004</v>
      </c>
      <c r="AS208" s="223">
        <v>106</v>
      </c>
      <c r="AT208" s="235">
        <v>0.76300000000000001</v>
      </c>
      <c r="AU208" s="223">
        <v>98</v>
      </c>
      <c r="AV208" s="232">
        <v>0.70499999999999996</v>
      </c>
      <c r="AW208" s="223">
        <v>75</v>
      </c>
      <c r="AX208" s="223">
        <v>64</v>
      </c>
      <c r="AY208" s="235">
        <v>0.85299999999999998</v>
      </c>
      <c r="AZ208" s="223">
        <v>65</v>
      </c>
      <c r="BA208" s="235">
        <v>0.86699999999999999</v>
      </c>
      <c r="BB208" s="223">
        <v>59</v>
      </c>
      <c r="BC208" s="232">
        <v>0.78700000000000003</v>
      </c>
    </row>
    <row r="209" spans="1:55" x14ac:dyDescent="0.25">
      <c r="A209" s="226">
        <v>1</v>
      </c>
      <c r="B209" s="211" t="s">
        <v>117</v>
      </c>
      <c r="C209" s="211">
        <v>713</v>
      </c>
      <c r="D209" s="211" t="s">
        <v>385</v>
      </c>
      <c r="E209" s="211">
        <v>1603</v>
      </c>
      <c r="F209" s="211">
        <v>1613</v>
      </c>
      <c r="G209" s="211"/>
      <c r="H209" s="220" t="str">
        <f>HYPERLINK("https://map.geo.admin.ch/?zoom=7&amp;E=581800&amp;N=230000&amp;layers=ch.kantone.cadastralwebmap-farbe,ch.swisstopo.amtliches-strassenverzeichnis,ch.bfs.gebaeude_wohnungs_register,KML||https://tinyurl.com/yy7ya4g9/BE/0713_bdg_erw.kml","KML building")</f>
        <v>KML building</v>
      </c>
      <c r="I209" s="154">
        <v>0</v>
      </c>
      <c r="J209" s="243" t="s">
        <v>1170</v>
      </c>
      <c r="K209" s="153">
        <v>0</v>
      </c>
      <c r="L209" s="64">
        <v>0</v>
      </c>
      <c r="M209" s="64"/>
      <c r="N209" s="200">
        <v>0</v>
      </c>
      <c r="O209" s="155"/>
      <c r="P209" s="63"/>
      <c r="Q209" s="64">
        <v>0</v>
      </c>
      <c r="R209" s="64"/>
      <c r="S209" s="200">
        <v>0</v>
      </c>
      <c r="T209" s="155"/>
      <c r="U209" s="63"/>
      <c r="V209" s="64">
        <v>0</v>
      </c>
      <c r="W209" s="64"/>
      <c r="X209" s="200">
        <v>0</v>
      </c>
      <c r="Y209" s="155"/>
      <c r="Z209" s="63"/>
      <c r="AA209" s="64">
        <v>0</v>
      </c>
      <c r="AB209" s="64"/>
      <c r="AC209" s="200">
        <v>0</v>
      </c>
      <c r="AD209" s="156"/>
      <c r="AE209" s="153"/>
      <c r="AF209" s="140">
        <v>1</v>
      </c>
      <c r="AG209" s="140"/>
      <c r="AH209" s="200">
        <v>5.9999999999999995E-4</v>
      </c>
      <c r="AI209" s="140"/>
      <c r="AJ209" s="153"/>
      <c r="AK209" s="140">
        <v>0</v>
      </c>
      <c r="AL209" s="140"/>
      <c r="AM209" s="200">
        <v>0</v>
      </c>
      <c r="AN209" s="156"/>
      <c r="AO209" s="230">
        <v>5.9999999999999995E-4</v>
      </c>
      <c r="AP209" s="223">
        <v>785</v>
      </c>
      <c r="AQ209" s="223">
        <v>684</v>
      </c>
      <c r="AR209" s="235">
        <v>0.871</v>
      </c>
      <c r="AS209" s="223">
        <v>650</v>
      </c>
      <c r="AT209" s="235">
        <v>0.82799999999999996</v>
      </c>
      <c r="AU209" s="223">
        <v>619</v>
      </c>
      <c r="AV209" s="232">
        <v>0.78900000000000003</v>
      </c>
      <c r="AW209" s="223">
        <v>453</v>
      </c>
      <c r="AX209" s="223">
        <v>447</v>
      </c>
      <c r="AY209" s="235">
        <v>0.98699999999999999</v>
      </c>
      <c r="AZ209" s="223">
        <v>420</v>
      </c>
      <c r="BA209" s="235">
        <v>0.92700000000000005</v>
      </c>
      <c r="BB209" s="223">
        <v>416</v>
      </c>
      <c r="BC209" s="232">
        <v>0.91800000000000004</v>
      </c>
    </row>
    <row r="210" spans="1:55" x14ac:dyDescent="0.25">
      <c r="A210" s="226">
        <v>1</v>
      </c>
      <c r="B210" s="211" t="s">
        <v>117</v>
      </c>
      <c r="C210" s="211">
        <v>715</v>
      </c>
      <c r="D210" s="211" t="s">
        <v>386</v>
      </c>
      <c r="E210" s="211">
        <v>51</v>
      </c>
      <c r="F210" s="211">
        <v>51</v>
      </c>
      <c r="G210" s="211"/>
      <c r="H210" s="220" t="str">
        <f>HYPERLINK("https://map.geo.admin.ch/?zoom=7&amp;E=580000&amp;N=237500&amp;layers=ch.kantone.cadastralwebmap-farbe,ch.swisstopo.amtliches-strassenverzeichnis,ch.bfs.gebaeude_wohnungs_register,KML||https://tinyurl.com/yy7ya4g9/BE/0715_bdg_erw.kml","KML building")</f>
        <v>KML building</v>
      </c>
      <c r="I210" s="154">
        <v>0</v>
      </c>
      <c r="J210" s="243" t="s">
        <v>1171</v>
      </c>
      <c r="K210" s="153">
        <v>0</v>
      </c>
      <c r="L210" s="64">
        <v>0</v>
      </c>
      <c r="M210" s="64"/>
      <c r="N210" s="200">
        <v>0</v>
      </c>
      <c r="O210" s="155"/>
      <c r="P210" s="63"/>
      <c r="Q210" s="64">
        <v>0</v>
      </c>
      <c r="R210" s="64"/>
      <c r="S210" s="200">
        <v>0</v>
      </c>
      <c r="T210" s="155"/>
      <c r="U210" s="63"/>
      <c r="V210" s="64">
        <v>0</v>
      </c>
      <c r="W210" s="64"/>
      <c r="X210" s="200">
        <v>0</v>
      </c>
      <c r="Y210" s="155"/>
      <c r="Z210" s="63"/>
      <c r="AA210" s="64">
        <v>0</v>
      </c>
      <c r="AB210" s="64"/>
      <c r="AC210" s="200">
        <v>0</v>
      </c>
      <c r="AD210" s="156"/>
      <c r="AE210" s="153"/>
      <c r="AF210" s="140">
        <v>0</v>
      </c>
      <c r="AG210" s="140"/>
      <c r="AH210" s="200">
        <v>0</v>
      </c>
      <c r="AI210" s="140"/>
      <c r="AJ210" s="153"/>
      <c r="AK210" s="140">
        <v>0</v>
      </c>
      <c r="AL210" s="140"/>
      <c r="AM210" s="200">
        <v>0</v>
      </c>
      <c r="AN210" s="156"/>
      <c r="AO210" s="230">
        <v>0</v>
      </c>
      <c r="AP210" s="223">
        <v>30</v>
      </c>
      <c r="AQ210" s="223">
        <v>30</v>
      </c>
      <c r="AR210" s="235">
        <v>1</v>
      </c>
      <c r="AS210" s="223">
        <v>23</v>
      </c>
      <c r="AT210" s="235">
        <v>0.76700000000000002</v>
      </c>
      <c r="AU210" s="223">
        <v>23</v>
      </c>
      <c r="AV210" s="232">
        <v>0.76700000000000002</v>
      </c>
      <c r="AW210" s="223">
        <v>18</v>
      </c>
      <c r="AX210" s="223">
        <v>18</v>
      </c>
      <c r="AY210" s="235">
        <v>1</v>
      </c>
      <c r="AZ210" s="223">
        <v>17</v>
      </c>
      <c r="BA210" s="235">
        <v>0.94399999999999995</v>
      </c>
      <c r="BB210" s="223">
        <v>17</v>
      </c>
      <c r="BC210" s="232">
        <v>0.94399999999999995</v>
      </c>
    </row>
    <row r="211" spans="1:55" x14ac:dyDescent="0.25">
      <c r="A211" s="226">
        <v>1</v>
      </c>
      <c r="B211" s="211" t="s">
        <v>117</v>
      </c>
      <c r="C211" s="211">
        <v>716</v>
      </c>
      <c r="D211" s="211" t="s">
        <v>387</v>
      </c>
      <c r="E211" s="211">
        <v>472</v>
      </c>
      <c r="F211" s="211">
        <v>482</v>
      </c>
      <c r="G211" s="211"/>
      <c r="H211" s="220" t="str">
        <f>HYPERLINK("https://map.geo.admin.ch/?zoom=7&amp;E=585200&amp;N=235900&amp;layers=ch.kantone.cadastralwebmap-farbe,ch.swisstopo.amtliches-strassenverzeichnis,ch.bfs.gebaeude_wohnungs_register,KML||https://tinyurl.com/yy7ya4g9/BE/0716_bdg_erw.kml","KML building")</f>
        <v>KML building</v>
      </c>
      <c r="I211" s="154">
        <v>0</v>
      </c>
      <c r="J211" s="243" t="s">
        <v>1172</v>
      </c>
      <c r="K211" s="153">
        <v>0</v>
      </c>
      <c r="L211" s="64">
        <v>0</v>
      </c>
      <c r="M211" s="64"/>
      <c r="N211" s="200">
        <v>0</v>
      </c>
      <c r="O211" s="155"/>
      <c r="P211" s="63"/>
      <c r="Q211" s="64">
        <v>0</v>
      </c>
      <c r="R211" s="64"/>
      <c r="S211" s="200">
        <v>0</v>
      </c>
      <c r="T211" s="155"/>
      <c r="U211" s="63"/>
      <c r="V211" s="64">
        <v>0</v>
      </c>
      <c r="W211" s="64"/>
      <c r="X211" s="200">
        <v>0</v>
      </c>
      <c r="Y211" s="155"/>
      <c r="Z211" s="63"/>
      <c r="AA211" s="64">
        <v>0</v>
      </c>
      <c r="AB211" s="64"/>
      <c r="AC211" s="200">
        <v>0</v>
      </c>
      <c r="AD211" s="156"/>
      <c r="AE211" s="153"/>
      <c r="AF211" s="140">
        <v>0</v>
      </c>
      <c r="AG211" s="140"/>
      <c r="AH211" s="200">
        <v>0</v>
      </c>
      <c r="AI211" s="140"/>
      <c r="AJ211" s="153"/>
      <c r="AK211" s="140">
        <v>0</v>
      </c>
      <c r="AL211" s="140"/>
      <c r="AM211" s="200">
        <v>0</v>
      </c>
      <c r="AN211" s="156"/>
      <c r="AO211" s="230">
        <v>0</v>
      </c>
      <c r="AP211" s="223">
        <v>280</v>
      </c>
      <c r="AQ211" s="223">
        <v>227</v>
      </c>
      <c r="AR211" s="235">
        <v>0.81100000000000005</v>
      </c>
      <c r="AS211" s="223">
        <v>208</v>
      </c>
      <c r="AT211" s="235">
        <v>0.74299999999999999</v>
      </c>
      <c r="AU211" s="223">
        <v>199</v>
      </c>
      <c r="AV211" s="232">
        <v>0.71099999999999997</v>
      </c>
      <c r="AW211" s="223">
        <v>168</v>
      </c>
      <c r="AX211" s="223">
        <v>151</v>
      </c>
      <c r="AY211" s="235">
        <v>0.89900000000000002</v>
      </c>
      <c r="AZ211" s="223">
        <v>147</v>
      </c>
      <c r="BA211" s="235">
        <v>0.875</v>
      </c>
      <c r="BB211" s="223">
        <v>143</v>
      </c>
      <c r="BC211" s="232">
        <v>0.85099999999999998</v>
      </c>
    </row>
    <row r="212" spans="1:55" x14ac:dyDescent="0.25">
      <c r="A212" s="226">
        <v>1</v>
      </c>
      <c r="B212" s="211" t="s">
        <v>117</v>
      </c>
      <c r="C212" s="211">
        <v>717</v>
      </c>
      <c r="D212" s="211" t="s">
        <v>388</v>
      </c>
      <c r="E212" s="211">
        <v>1997</v>
      </c>
      <c r="F212" s="211">
        <v>2028</v>
      </c>
      <c r="G212" s="211"/>
      <c r="H212" s="220" t="str">
        <f>HYPERLINK("https://map.geo.admin.ch/?zoom=7&amp;E=587300&amp;N=231900&amp;layers=ch.kantone.cadastralwebmap-farbe,ch.swisstopo.amtliches-strassenverzeichnis,ch.bfs.gebaeude_wohnungs_register,KML||https://tinyurl.com/yy7ya4g9/BE/0717_bdg_erw.kml","KML building")</f>
        <v>KML building</v>
      </c>
      <c r="I212" s="154">
        <v>0</v>
      </c>
      <c r="J212" s="243" t="s">
        <v>1173</v>
      </c>
      <c r="K212" s="153">
        <v>0</v>
      </c>
      <c r="L212" s="64">
        <v>0</v>
      </c>
      <c r="M212" s="64"/>
      <c r="N212" s="200">
        <v>0</v>
      </c>
      <c r="O212" s="155"/>
      <c r="P212" s="63"/>
      <c r="Q212" s="64">
        <v>0</v>
      </c>
      <c r="R212" s="64"/>
      <c r="S212" s="200">
        <v>0</v>
      </c>
      <c r="T212" s="155"/>
      <c r="U212" s="63"/>
      <c r="V212" s="64">
        <v>0</v>
      </c>
      <c r="W212" s="64"/>
      <c r="X212" s="200">
        <v>0</v>
      </c>
      <c r="Y212" s="155"/>
      <c r="Z212" s="63"/>
      <c r="AA212" s="64">
        <v>0</v>
      </c>
      <c r="AB212" s="64"/>
      <c r="AC212" s="200">
        <v>0</v>
      </c>
      <c r="AD212" s="156"/>
      <c r="AE212" s="153"/>
      <c r="AF212" s="140">
        <v>0</v>
      </c>
      <c r="AG212" s="140"/>
      <c r="AH212" s="200">
        <v>0</v>
      </c>
      <c r="AI212" s="140"/>
      <c r="AJ212" s="153"/>
      <c r="AK212" s="140">
        <v>0</v>
      </c>
      <c r="AL212" s="140"/>
      <c r="AM212" s="200">
        <v>0</v>
      </c>
      <c r="AN212" s="156"/>
      <c r="AO212" s="230">
        <v>0</v>
      </c>
      <c r="AP212" s="223">
        <v>886</v>
      </c>
      <c r="AQ212" s="223">
        <v>723</v>
      </c>
      <c r="AR212" s="235">
        <v>0.81599999999999995</v>
      </c>
      <c r="AS212" s="223">
        <v>627</v>
      </c>
      <c r="AT212" s="235">
        <v>0.70799999999999996</v>
      </c>
      <c r="AU212" s="223">
        <v>597</v>
      </c>
      <c r="AV212" s="232">
        <v>0.67400000000000004</v>
      </c>
      <c r="AW212" s="223">
        <v>469</v>
      </c>
      <c r="AX212" s="223">
        <v>444</v>
      </c>
      <c r="AY212" s="235">
        <v>0.94699999999999995</v>
      </c>
      <c r="AZ212" s="223">
        <v>379</v>
      </c>
      <c r="BA212" s="235">
        <v>0.80800000000000005</v>
      </c>
      <c r="BB212" s="223">
        <v>377</v>
      </c>
      <c r="BC212" s="232">
        <v>0.80400000000000005</v>
      </c>
    </row>
    <row r="213" spans="1:55" x14ac:dyDescent="0.25">
      <c r="A213" s="226">
        <v>1</v>
      </c>
      <c r="B213" s="211" t="s">
        <v>117</v>
      </c>
      <c r="C213" s="211">
        <v>723</v>
      </c>
      <c r="D213" s="211" t="s">
        <v>389</v>
      </c>
      <c r="E213" s="211">
        <v>1415</v>
      </c>
      <c r="F213" s="211">
        <v>1434</v>
      </c>
      <c r="G213" s="211"/>
      <c r="H213" s="220" t="str">
        <f>HYPERLINK("https://map.geo.admin.ch/?zoom=7&amp;E=573800&amp;N=212600&amp;layers=ch.kantone.cadastralwebmap-farbe,ch.swisstopo.amtliches-strassenverzeichnis,ch.bfs.gebaeude_wohnungs_register,KML||https://tinyurl.com/yy7ya4g9/BE/0723_bdg_erw.kml","KML building")</f>
        <v>KML building</v>
      </c>
      <c r="I213" s="154">
        <v>0</v>
      </c>
      <c r="J213" s="243" t="s">
        <v>1174</v>
      </c>
      <c r="K213" s="153">
        <v>0</v>
      </c>
      <c r="L213" s="64">
        <v>0</v>
      </c>
      <c r="M213" s="64"/>
      <c r="N213" s="200">
        <v>0</v>
      </c>
      <c r="O213" s="155"/>
      <c r="P213" s="63"/>
      <c r="Q213" s="64">
        <v>0</v>
      </c>
      <c r="R213" s="64"/>
      <c r="S213" s="200">
        <v>0</v>
      </c>
      <c r="T213" s="155"/>
      <c r="U213" s="63"/>
      <c r="V213" s="64">
        <v>0</v>
      </c>
      <c r="W213" s="64"/>
      <c r="X213" s="200">
        <v>0</v>
      </c>
      <c r="Y213" s="155"/>
      <c r="Z213" s="63"/>
      <c r="AA213" s="64">
        <v>0</v>
      </c>
      <c r="AB213" s="64"/>
      <c r="AC213" s="200">
        <v>0</v>
      </c>
      <c r="AD213" s="156"/>
      <c r="AE213" s="153"/>
      <c r="AF213" s="140">
        <v>1</v>
      </c>
      <c r="AG213" s="140"/>
      <c r="AH213" s="200">
        <v>6.9999999999999999E-4</v>
      </c>
      <c r="AI213" s="140"/>
      <c r="AJ213" s="153"/>
      <c r="AK213" s="140">
        <v>0</v>
      </c>
      <c r="AL213" s="140"/>
      <c r="AM213" s="200">
        <v>0</v>
      </c>
      <c r="AN213" s="156"/>
      <c r="AO213" s="230">
        <v>6.9999999999999999E-4</v>
      </c>
      <c r="AP213" s="223">
        <v>463</v>
      </c>
      <c r="AQ213" s="223">
        <v>356</v>
      </c>
      <c r="AR213" s="235">
        <v>0.76900000000000002</v>
      </c>
      <c r="AS213" s="223">
        <v>328</v>
      </c>
      <c r="AT213" s="235">
        <v>0.70799999999999996</v>
      </c>
      <c r="AU213" s="223">
        <v>317</v>
      </c>
      <c r="AV213" s="232">
        <v>0.68500000000000005</v>
      </c>
      <c r="AW213" s="223">
        <v>229</v>
      </c>
      <c r="AX213" s="223">
        <v>205</v>
      </c>
      <c r="AY213" s="235">
        <v>0.89500000000000002</v>
      </c>
      <c r="AZ213" s="223">
        <v>192</v>
      </c>
      <c r="BA213" s="235">
        <v>0.83799999999999997</v>
      </c>
      <c r="BB213" s="223">
        <v>184</v>
      </c>
      <c r="BC213" s="232">
        <v>0.80300000000000005</v>
      </c>
    </row>
    <row r="214" spans="1:55" x14ac:dyDescent="0.25">
      <c r="A214" s="226">
        <v>1</v>
      </c>
      <c r="B214" s="211" t="s">
        <v>117</v>
      </c>
      <c r="C214" s="211">
        <v>724</v>
      </c>
      <c r="D214" s="211" t="s">
        <v>390</v>
      </c>
      <c r="E214" s="211">
        <v>581</v>
      </c>
      <c r="F214" s="211">
        <v>587</v>
      </c>
      <c r="G214" s="211"/>
      <c r="H214" s="220" t="str">
        <f>HYPERLINK("https://map.geo.admin.ch/?zoom=7&amp;E=572800&amp;N=218100&amp;layers=ch.kantone.cadastralwebmap-farbe,ch.swisstopo.amtliches-strassenverzeichnis,ch.bfs.gebaeude_wohnungs_register,KML||https://tinyurl.com/yy7ya4g9/BE/0724_bdg_erw.kml","KML building")</f>
        <v>KML building</v>
      </c>
      <c r="I214" s="154">
        <v>0</v>
      </c>
      <c r="J214" s="243" t="s">
        <v>1175</v>
      </c>
      <c r="K214" s="153">
        <v>0</v>
      </c>
      <c r="L214" s="64">
        <v>0</v>
      </c>
      <c r="M214" s="64"/>
      <c r="N214" s="200">
        <v>0</v>
      </c>
      <c r="O214" s="155"/>
      <c r="P214" s="63"/>
      <c r="Q214" s="64">
        <v>0</v>
      </c>
      <c r="R214" s="64"/>
      <c r="S214" s="200">
        <v>0</v>
      </c>
      <c r="T214" s="155"/>
      <c r="U214" s="63"/>
      <c r="V214" s="64">
        <v>0</v>
      </c>
      <c r="W214" s="64"/>
      <c r="X214" s="200">
        <v>0</v>
      </c>
      <c r="Y214" s="155"/>
      <c r="Z214" s="63"/>
      <c r="AA214" s="64">
        <v>0</v>
      </c>
      <c r="AB214" s="64"/>
      <c r="AC214" s="200">
        <v>0</v>
      </c>
      <c r="AD214" s="156"/>
      <c r="AE214" s="153"/>
      <c r="AF214" s="140">
        <v>3</v>
      </c>
      <c r="AG214" s="140"/>
      <c r="AH214" s="200">
        <v>5.1999999999999998E-3</v>
      </c>
      <c r="AI214" s="140"/>
      <c r="AJ214" s="153"/>
      <c r="AK214" s="140">
        <v>1</v>
      </c>
      <c r="AL214" s="140"/>
      <c r="AM214" s="200">
        <v>1.6999999999999999E-3</v>
      </c>
      <c r="AN214" s="156"/>
      <c r="AO214" s="230">
        <v>6.8999999999999999E-3</v>
      </c>
      <c r="AP214" s="223">
        <v>249</v>
      </c>
      <c r="AQ214" s="223">
        <v>220</v>
      </c>
      <c r="AR214" s="235">
        <v>0.88400000000000001</v>
      </c>
      <c r="AS214" s="223">
        <v>193</v>
      </c>
      <c r="AT214" s="235">
        <v>0.77500000000000002</v>
      </c>
      <c r="AU214" s="223">
        <v>191</v>
      </c>
      <c r="AV214" s="232">
        <v>0.76700000000000002</v>
      </c>
      <c r="AW214" s="223">
        <v>149</v>
      </c>
      <c r="AX214" s="223">
        <v>138</v>
      </c>
      <c r="AY214" s="235">
        <v>0.92600000000000005</v>
      </c>
      <c r="AZ214" s="223">
        <v>127</v>
      </c>
      <c r="BA214" s="235">
        <v>0.85199999999999998</v>
      </c>
      <c r="BB214" s="223">
        <v>125</v>
      </c>
      <c r="BC214" s="232">
        <v>0.83899999999999997</v>
      </c>
    </row>
    <row r="215" spans="1:55" x14ac:dyDescent="0.25">
      <c r="A215" s="226">
        <v>1</v>
      </c>
      <c r="B215" s="211" t="s">
        <v>117</v>
      </c>
      <c r="C215" s="211">
        <v>726</v>
      </c>
      <c r="D215" s="211" t="s">
        <v>391</v>
      </c>
      <c r="E215" s="211">
        <v>1388</v>
      </c>
      <c r="F215" s="211">
        <v>1392</v>
      </c>
      <c r="G215" s="211"/>
      <c r="H215" s="220" t="str">
        <f>HYPERLINK("https://map.geo.admin.ch/?zoom=7&amp;E=576600&amp;N=216500&amp;layers=ch.kantone.cadastralwebmap-farbe,ch.swisstopo.amtliches-strassenverzeichnis,ch.bfs.gebaeude_wohnungs_register,KML||https://tinyurl.com/yy7ya4g9/BE/0726_bdg_erw.kml","KML building")</f>
        <v>KML building</v>
      </c>
      <c r="I215" s="154">
        <v>3</v>
      </c>
      <c r="J215" s="243" t="s">
        <v>1176</v>
      </c>
      <c r="K215" s="153">
        <v>2.1613832853025938E-3</v>
      </c>
      <c r="L215" s="64">
        <v>0</v>
      </c>
      <c r="M215" s="64"/>
      <c r="N215" s="200">
        <v>0</v>
      </c>
      <c r="O215" s="155"/>
      <c r="P215" s="63"/>
      <c r="Q215" s="64">
        <v>0</v>
      </c>
      <c r="R215" s="64"/>
      <c r="S215" s="200">
        <v>0</v>
      </c>
      <c r="T215" s="155"/>
      <c r="U215" s="63"/>
      <c r="V215" s="64">
        <v>0</v>
      </c>
      <c r="W215" s="64"/>
      <c r="X215" s="200">
        <v>0</v>
      </c>
      <c r="Y215" s="155"/>
      <c r="Z215" s="63"/>
      <c r="AA215" s="64">
        <v>0</v>
      </c>
      <c r="AB215" s="64"/>
      <c r="AC215" s="200">
        <v>0</v>
      </c>
      <c r="AD215" s="156"/>
      <c r="AE215" s="153"/>
      <c r="AF215" s="140">
        <v>7</v>
      </c>
      <c r="AG215" s="140"/>
      <c r="AH215" s="200">
        <v>5.0000000000000001E-3</v>
      </c>
      <c r="AI215" s="140"/>
      <c r="AJ215" s="153"/>
      <c r="AK215" s="140">
        <v>14</v>
      </c>
      <c r="AL215" s="140"/>
      <c r="AM215" s="200">
        <v>1.01E-2</v>
      </c>
      <c r="AN215" s="156"/>
      <c r="AO215" s="230">
        <v>1.5099999999999999E-2</v>
      </c>
      <c r="AP215" s="223">
        <v>554</v>
      </c>
      <c r="AQ215" s="223">
        <v>497</v>
      </c>
      <c r="AR215" s="235">
        <v>0.89700000000000002</v>
      </c>
      <c r="AS215" s="223">
        <v>430</v>
      </c>
      <c r="AT215" s="235">
        <v>0.77600000000000002</v>
      </c>
      <c r="AU215" s="223">
        <v>426</v>
      </c>
      <c r="AV215" s="232">
        <v>0.76900000000000002</v>
      </c>
      <c r="AW215" s="223">
        <v>273</v>
      </c>
      <c r="AX215" s="223">
        <v>257</v>
      </c>
      <c r="AY215" s="235">
        <v>0.94099999999999995</v>
      </c>
      <c r="AZ215" s="223">
        <v>239</v>
      </c>
      <c r="BA215" s="235">
        <v>0.875</v>
      </c>
      <c r="BB215" s="223">
        <v>239</v>
      </c>
      <c r="BC215" s="232">
        <v>0.875</v>
      </c>
    </row>
    <row r="216" spans="1:55" x14ac:dyDescent="0.25">
      <c r="A216" s="226">
        <v>1</v>
      </c>
      <c r="B216" s="211" t="s">
        <v>117</v>
      </c>
      <c r="C216" s="211">
        <v>731</v>
      </c>
      <c r="D216" s="211" t="s">
        <v>392</v>
      </c>
      <c r="E216" s="211">
        <v>778</v>
      </c>
      <c r="F216" s="211">
        <v>783</v>
      </c>
      <c r="G216" s="211"/>
      <c r="H216" s="220" t="str">
        <f>HYPERLINK("https://map.geo.admin.ch/?zoom=7&amp;E=588600&amp;N=219000&amp;layers=ch.kantone.cadastralwebmap-farbe,ch.swisstopo.amtliches-strassenverzeichnis,ch.bfs.gebaeude_wohnungs_register,KML||https://tinyurl.com/yy7ya4g9/BE/0731_bdg_erw.kml","KML building")</f>
        <v>KML building</v>
      </c>
      <c r="I216" s="154">
        <v>0</v>
      </c>
      <c r="J216" s="243" t="s">
        <v>1177</v>
      </c>
      <c r="K216" s="153">
        <v>0</v>
      </c>
      <c r="L216" s="64">
        <v>0</v>
      </c>
      <c r="M216" s="64"/>
      <c r="N216" s="200">
        <v>0</v>
      </c>
      <c r="O216" s="155"/>
      <c r="P216" s="63"/>
      <c r="Q216" s="64">
        <v>0</v>
      </c>
      <c r="R216" s="64"/>
      <c r="S216" s="200">
        <v>0</v>
      </c>
      <c r="T216" s="155"/>
      <c r="U216" s="63"/>
      <c r="V216" s="64">
        <v>0</v>
      </c>
      <c r="W216" s="64"/>
      <c r="X216" s="200">
        <v>0</v>
      </c>
      <c r="Y216" s="155"/>
      <c r="Z216" s="63"/>
      <c r="AA216" s="64">
        <v>2</v>
      </c>
      <c r="AB216" s="64"/>
      <c r="AC216" s="200">
        <v>2.5999999999999999E-3</v>
      </c>
      <c r="AD216" s="156"/>
      <c r="AE216" s="153"/>
      <c r="AF216" s="140">
        <v>3</v>
      </c>
      <c r="AG216" s="140"/>
      <c r="AH216" s="200">
        <v>3.8999999999999998E-3</v>
      </c>
      <c r="AI216" s="140"/>
      <c r="AJ216" s="153"/>
      <c r="AK216" s="140">
        <v>0</v>
      </c>
      <c r="AL216" s="140"/>
      <c r="AM216" s="200">
        <v>0</v>
      </c>
      <c r="AN216" s="156"/>
      <c r="AO216" s="230">
        <v>6.4999999999999997E-3</v>
      </c>
      <c r="AP216" s="223">
        <v>217</v>
      </c>
      <c r="AQ216" s="223">
        <v>188</v>
      </c>
      <c r="AR216" s="235">
        <v>0.86599999999999999</v>
      </c>
      <c r="AS216" s="223">
        <v>189</v>
      </c>
      <c r="AT216" s="235">
        <v>0.871</v>
      </c>
      <c r="AU216" s="223">
        <v>177</v>
      </c>
      <c r="AV216" s="232">
        <v>0.81599999999999995</v>
      </c>
      <c r="AW216" s="223">
        <v>94</v>
      </c>
      <c r="AX216" s="223">
        <v>91</v>
      </c>
      <c r="AY216" s="235">
        <v>0.96799999999999997</v>
      </c>
      <c r="AZ216" s="223">
        <v>90</v>
      </c>
      <c r="BA216" s="235">
        <v>0.95699999999999996</v>
      </c>
      <c r="BB216" s="223">
        <v>87</v>
      </c>
      <c r="BC216" s="232">
        <v>0.92600000000000005</v>
      </c>
    </row>
    <row r="217" spans="1:55" x14ac:dyDescent="0.25">
      <c r="A217" s="226">
        <v>1</v>
      </c>
      <c r="B217" s="211" t="s">
        <v>117</v>
      </c>
      <c r="C217" s="211">
        <v>732</v>
      </c>
      <c r="D217" s="211" t="s">
        <v>393</v>
      </c>
      <c r="E217" s="211">
        <v>728</v>
      </c>
      <c r="F217" s="211">
        <v>729</v>
      </c>
      <c r="G217" s="211"/>
      <c r="H217" s="220" t="str">
        <f>HYPERLINK("https://map.geo.admin.ch/?zoom=7&amp;E=585300&amp;N=217200&amp;layers=ch.kantone.cadastralwebmap-farbe,ch.swisstopo.amtliches-strassenverzeichnis,ch.bfs.gebaeude_wohnungs_register,KML||https://tinyurl.com/yy7ya4g9/BE/0732_bdg_erw.kml","KML building")</f>
        <v>KML building</v>
      </c>
      <c r="I217" s="154">
        <v>0</v>
      </c>
      <c r="J217" s="243" t="s">
        <v>1178</v>
      </c>
      <c r="K217" s="153">
        <v>0</v>
      </c>
      <c r="L217" s="64">
        <v>0</v>
      </c>
      <c r="M217" s="64"/>
      <c r="N217" s="200">
        <v>0</v>
      </c>
      <c r="O217" s="155"/>
      <c r="P217" s="63"/>
      <c r="Q217" s="64">
        <v>0</v>
      </c>
      <c r="R217" s="64"/>
      <c r="S217" s="200">
        <v>0</v>
      </c>
      <c r="T217" s="155"/>
      <c r="U217" s="63"/>
      <c r="V217" s="64">
        <v>0</v>
      </c>
      <c r="W217" s="64"/>
      <c r="X217" s="200">
        <v>0</v>
      </c>
      <c r="Y217" s="155"/>
      <c r="Z217" s="63"/>
      <c r="AA217" s="64">
        <v>0</v>
      </c>
      <c r="AB217" s="64"/>
      <c r="AC217" s="200">
        <v>0</v>
      </c>
      <c r="AD217" s="156"/>
      <c r="AE217" s="153"/>
      <c r="AF217" s="140">
        <v>1</v>
      </c>
      <c r="AG217" s="140"/>
      <c r="AH217" s="200">
        <v>1.4E-3</v>
      </c>
      <c r="AI217" s="140"/>
      <c r="AJ217" s="153"/>
      <c r="AK217" s="140">
        <v>1</v>
      </c>
      <c r="AL217" s="140"/>
      <c r="AM217" s="200">
        <v>1.4E-3</v>
      </c>
      <c r="AN217" s="156"/>
      <c r="AO217" s="230">
        <v>2.8E-3</v>
      </c>
      <c r="AP217" s="223">
        <v>177</v>
      </c>
      <c r="AQ217" s="223">
        <v>146</v>
      </c>
      <c r="AR217" s="235">
        <v>0.82499999999999996</v>
      </c>
      <c r="AS217" s="223">
        <v>137</v>
      </c>
      <c r="AT217" s="235">
        <v>0.77400000000000002</v>
      </c>
      <c r="AU217" s="223">
        <v>134</v>
      </c>
      <c r="AV217" s="232">
        <v>0.75700000000000001</v>
      </c>
      <c r="AW217" s="223">
        <v>86</v>
      </c>
      <c r="AX217" s="223">
        <v>82</v>
      </c>
      <c r="AY217" s="235">
        <v>0.95299999999999996</v>
      </c>
      <c r="AZ217" s="223">
        <v>78</v>
      </c>
      <c r="BA217" s="235">
        <v>0.90700000000000003</v>
      </c>
      <c r="BB217" s="223">
        <v>77</v>
      </c>
      <c r="BC217" s="232">
        <v>0.89500000000000002</v>
      </c>
    </row>
    <row r="218" spans="1:55" x14ac:dyDescent="0.25">
      <c r="A218" s="226">
        <v>1</v>
      </c>
      <c r="B218" s="211" t="s">
        <v>117</v>
      </c>
      <c r="C218" s="211">
        <v>733</v>
      </c>
      <c r="D218" s="211" t="s">
        <v>394</v>
      </c>
      <c r="E218" s="211">
        <v>1275</v>
      </c>
      <c r="F218" s="211">
        <v>1282</v>
      </c>
      <c r="G218" s="211"/>
      <c r="H218" s="220" t="str">
        <f>HYPERLINK("https://map.geo.admin.ch/?zoom=7&amp;E=588200&amp;N=219200&amp;layers=ch.kantone.cadastralwebmap-farbe,ch.swisstopo.amtliches-strassenverzeichnis,ch.bfs.gebaeude_wohnungs_register,KML||https://tinyurl.com/yy7ya4g9/BE/0733_bdg_erw.kml","KML building")</f>
        <v>KML building</v>
      </c>
      <c r="I218" s="154">
        <v>1</v>
      </c>
      <c r="J218" s="243" t="s">
        <v>1179</v>
      </c>
      <c r="K218" s="153">
        <v>7.8431372549019605E-4</v>
      </c>
      <c r="L218" s="64">
        <v>0</v>
      </c>
      <c r="M218" s="64"/>
      <c r="N218" s="200">
        <v>0</v>
      </c>
      <c r="O218" s="155"/>
      <c r="P218" s="63"/>
      <c r="Q218" s="64">
        <v>0</v>
      </c>
      <c r="R218" s="64"/>
      <c r="S218" s="200">
        <v>0</v>
      </c>
      <c r="T218" s="155"/>
      <c r="U218" s="63"/>
      <c r="V218" s="64">
        <v>0</v>
      </c>
      <c r="W218" s="64"/>
      <c r="X218" s="200">
        <v>0</v>
      </c>
      <c r="Y218" s="155"/>
      <c r="Z218" s="63"/>
      <c r="AA218" s="64">
        <v>2</v>
      </c>
      <c r="AB218" s="64"/>
      <c r="AC218" s="200">
        <v>1.6000000000000001E-3</v>
      </c>
      <c r="AD218" s="156"/>
      <c r="AE218" s="153"/>
      <c r="AF218" s="140">
        <v>7</v>
      </c>
      <c r="AG218" s="140"/>
      <c r="AH218" s="200">
        <v>5.4999999999999997E-3</v>
      </c>
      <c r="AI218" s="140"/>
      <c r="AJ218" s="153"/>
      <c r="AK218" s="140">
        <v>2</v>
      </c>
      <c r="AL218" s="140"/>
      <c r="AM218" s="200">
        <v>1.6000000000000001E-3</v>
      </c>
      <c r="AN218" s="156"/>
      <c r="AO218" s="230">
        <v>8.6999999999999994E-3</v>
      </c>
      <c r="AP218" s="223">
        <v>432</v>
      </c>
      <c r="AQ218" s="223">
        <v>364</v>
      </c>
      <c r="AR218" s="235">
        <v>0.84299999999999997</v>
      </c>
      <c r="AS218" s="223">
        <v>329</v>
      </c>
      <c r="AT218" s="235">
        <v>0.76200000000000001</v>
      </c>
      <c r="AU218" s="223">
        <v>311</v>
      </c>
      <c r="AV218" s="232">
        <v>0.72</v>
      </c>
      <c r="AW218" s="223">
        <v>262</v>
      </c>
      <c r="AX218" s="223">
        <v>257</v>
      </c>
      <c r="AY218" s="235">
        <v>0.98099999999999998</v>
      </c>
      <c r="AZ218" s="223">
        <v>227</v>
      </c>
      <c r="BA218" s="235">
        <v>0.86599999999999999</v>
      </c>
      <c r="BB218" s="223">
        <v>222</v>
      </c>
      <c r="BC218" s="232">
        <v>0.84699999999999998</v>
      </c>
    </row>
    <row r="219" spans="1:55" x14ac:dyDescent="0.25">
      <c r="A219" s="226">
        <v>1</v>
      </c>
      <c r="B219" s="211" t="s">
        <v>117</v>
      </c>
      <c r="C219" s="211">
        <v>734</v>
      </c>
      <c r="D219" s="211" t="s">
        <v>395</v>
      </c>
      <c r="E219" s="211">
        <v>335</v>
      </c>
      <c r="F219" s="211">
        <v>336</v>
      </c>
      <c r="G219" s="211"/>
      <c r="H219" s="220" t="str">
        <f>HYPERLINK("https://map.geo.admin.ch/?zoom=7&amp;E=585300&amp;N=213200&amp;layers=ch.kantone.cadastralwebmap-farbe,ch.swisstopo.amtliches-strassenverzeichnis,ch.bfs.gebaeude_wohnungs_register,KML||https://tinyurl.com/yy7ya4g9/BE/0734_bdg_erw.kml","KML building")</f>
        <v>KML building</v>
      </c>
      <c r="I219" s="154">
        <v>0</v>
      </c>
      <c r="J219" s="243" t="s">
        <v>1180</v>
      </c>
      <c r="K219" s="153">
        <v>0</v>
      </c>
      <c r="L219" s="64">
        <v>0</v>
      </c>
      <c r="M219" s="64"/>
      <c r="N219" s="200">
        <v>0</v>
      </c>
      <c r="O219" s="155"/>
      <c r="P219" s="63"/>
      <c r="Q219" s="64">
        <v>0</v>
      </c>
      <c r="R219" s="64"/>
      <c r="S219" s="200">
        <v>0</v>
      </c>
      <c r="T219" s="155"/>
      <c r="U219" s="63"/>
      <c r="V219" s="64">
        <v>0</v>
      </c>
      <c r="W219" s="64"/>
      <c r="X219" s="200">
        <v>0</v>
      </c>
      <c r="Y219" s="155"/>
      <c r="Z219" s="63"/>
      <c r="AA219" s="64">
        <v>0</v>
      </c>
      <c r="AB219" s="64"/>
      <c r="AC219" s="200">
        <v>0</v>
      </c>
      <c r="AD219" s="156"/>
      <c r="AE219" s="153"/>
      <c r="AF219" s="140">
        <v>0</v>
      </c>
      <c r="AG219" s="140"/>
      <c r="AH219" s="200">
        <v>0</v>
      </c>
      <c r="AI219" s="140"/>
      <c r="AJ219" s="153"/>
      <c r="AK219" s="140">
        <v>3</v>
      </c>
      <c r="AL219" s="140"/>
      <c r="AM219" s="200">
        <v>8.9999999999999993E-3</v>
      </c>
      <c r="AN219" s="156"/>
      <c r="AO219" s="230">
        <v>8.9999999999999993E-3</v>
      </c>
      <c r="AP219" s="223">
        <v>152</v>
      </c>
      <c r="AQ219" s="223">
        <v>130</v>
      </c>
      <c r="AR219" s="235">
        <v>0.85499999999999998</v>
      </c>
      <c r="AS219" s="223">
        <v>123</v>
      </c>
      <c r="AT219" s="235">
        <v>0.80900000000000005</v>
      </c>
      <c r="AU219" s="223">
        <v>117</v>
      </c>
      <c r="AV219" s="232">
        <v>0.77</v>
      </c>
      <c r="AW219" s="223">
        <v>86</v>
      </c>
      <c r="AX219" s="223">
        <v>83</v>
      </c>
      <c r="AY219" s="235">
        <v>0.96499999999999997</v>
      </c>
      <c r="AZ219" s="223">
        <v>82</v>
      </c>
      <c r="BA219" s="235">
        <v>0.95299999999999996</v>
      </c>
      <c r="BB219" s="223">
        <v>80</v>
      </c>
      <c r="BC219" s="232">
        <v>0.93</v>
      </c>
    </row>
    <row r="220" spans="1:55" x14ac:dyDescent="0.25">
      <c r="A220" s="226">
        <v>1</v>
      </c>
      <c r="B220" s="211" t="s">
        <v>117</v>
      </c>
      <c r="C220" s="211">
        <v>735</v>
      </c>
      <c r="D220" s="211" t="s">
        <v>396</v>
      </c>
      <c r="E220" s="211">
        <v>245</v>
      </c>
      <c r="F220" s="211">
        <v>252</v>
      </c>
      <c r="G220" s="211"/>
      <c r="H220" s="220" t="str">
        <f>HYPERLINK("https://map.geo.admin.ch/?zoom=7&amp;E=583400&amp;N=213200&amp;layers=ch.kantone.cadastralwebmap-farbe,ch.swisstopo.amtliches-strassenverzeichnis,ch.bfs.gebaeude_wohnungs_register,KML||https://tinyurl.com/yy7ya4g9/BE/0735_bdg_erw.kml","KML building")</f>
        <v>KML building</v>
      </c>
      <c r="I220" s="154">
        <v>0</v>
      </c>
      <c r="J220" s="243" t="s">
        <v>1181</v>
      </c>
      <c r="K220" s="153">
        <v>0</v>
      </c>
      <c r="L220" s="64">
        <v>0</v>
      </c>
      <c r="M220" s="64"/>
      <c r="N220" s="200">
        <v>0</v>
      </c>
      <c r="O220" s="155"/>
      <c r="P220" s="63"/>
      <c r="Q220" s="64">
        <v>0</v>
      </c>
      <c r="R220" s="64"/>
      <c r="S220" s="200">
        <v>0</v>
      </c>
      <c r="T220" s="155"/>
      <c r="U220" s="63"/>
      <c r="V220" s="64">
        <v>0</v>
      </c>
      <c r="W220" s="64"/>
      <c r="X220" s="200">
        <v>0</v>
      </c>
      <c r="Y220" s="155"/>
      <c r="Z220" s="63"/>
      <c r="AA220" s="64">
        <v>0</v>
      </c>
      <c r="AB220" s="64"/>
      <c r="AC220" s="200">
        <v>0</v>
      </c>
      <c r="AD220" s="156"/>
      <c r="AE220" s="153"/>
      <c r="AF220" s="140">
        <v>1</v>
      </c>
      <c r="AG220" s="140"/>
      <c r="AH220" s="200">
        <v>4.1000000000000003E-3</v>
      </c>
      <c r="AI220" s="140"/>
      <c r="AJ220" s="153"/>
      <c r="AK220" s="140">
        <v>0</v>
      </c>
      <c r="AL220" s="140"/>
      <c r="AM220" s="200">
        <v>0</v>
      </c>
      <c r="AN220" s="156"/>
      <c r="AO220" s="230">
        <v>4.1000000000000003E-3</v>
      </c>
      <c r="AP220" s="223">
        <v>115</v>
      </c>
      <c r="AQ220" s="223">
        <v>105</v>
      </c>
      <c r="AR220" s="235">
        <v>0.91300000000000003</v>
      </c>
      <c r="AS220" s="223">
        <v>85</v>
      </c>
      <c r="AT220" s="235">
        <v>0.73899999999999999</v>
      </c>
      <c r="AU220" s="223">
        <v>85</v>
      </c>
      <c r="AV220" s="232">
        <v>0.73899999999999999</v>
      </c>
      <c r="AW220" s="223">
        <v>63</v>
      </c>
      <c r="AX220" s="223">
        <v>61</v>
      </c>
      <c r="AY220" s="235">
        <v>0.96799999999999997</v>
      </c>
      <c r="AZ220" s="223">
        <v>54</v>
      </c>
      <c r="BA220" s="235">
        <v>0.85699999999999998</v>
      </c>
      <c r="BB220" s="223">
        <v>54</v>
      </c>
      <c r="BC220" s="232">
        <v>0.85699999999999998</v>
      </c>
    </row>
    <row r="221" spans="1:55" x14ac:dyDescent="0.25">
      <c r="A221" s="226">
        <v>1</v>
      </c>
      <c r="B221" s="211" t="s">
        <v>117</v>
      </c>
      <c r="C221" s="211">
        <v>736</v>
      </c>
      <c r="D221" s="211" t="s">
        <v>397</v>
      </c>
      <c r="E221" s="211">
        <v>246</v>
      </c>
      <c r="F221" s="211">
        <v>246</v>
      </c>
      <c r="G221" s="211"/>
      <c r="H221" s="220" t="str">
        <f>HYPERLINK("https://map.geo.admin.ch/?zoom=7&amp;E=580900&amp;N=211800&amp;layers=ch.kantone.cadastralwebmap-farbe,ch.swisstopo.amtliches-strassenverzeichnis,ch.bfs.gebaeude_wohnungs_register,KML||https://tinyurl.com/yy7ya4g9/BE/0736_bdg_erw.kml","KML building")</f>
        <v>KML building</v>
      </c>
      <c r="I221" s="154">
        <v>0</v>
      </c>
      <c r="J221" s="243" t="s">
        <v>1182</v>
      </c>
      <c r="K221" s="153">
        <v>0</v>
      </c>
      <c r="L221" s="64">
        <v>0</v>
      </c>
      <c r="M221" s="64"/>
      <c r="N221" s="200">
        <v>0</v>
      </c>
      <c r="O221" s="155"/>
      <c r="P221" s="63"/>
      <c r="Q221" s="64">
        <v>0</v>
      </c>
      <c r="R221" s="64"/>
      <c r="S221" s="200">
        <v>0</v>
      </c>
      <c r="T221" s="155"/>
      <c r="U221" s="63"/>
      <c r="V221" s="64">
        <v>0</v>
      </c>
      <c r="W221" s="64"/>
      <c r="X221" s="200">
        <v>0</v>
      </c>
      <c r="Y221" s="155"/>
      <c r="Z221" s="63"/>
      <c r="AA221" s="64">
        <v>0</v>
      </c>
      <c r="AB221" s="64"/>
      <c r="AC221" s="200">
        <v>0</v>
      </c>
      <c r="AD221" s="156"/>
      <c r="AE221" s="153"/>
      <c r="AF221" s="140">
        <v>0</v>
      </c>
      <c r="AG221" s="140"/>
      <c r="AH221" s="200">
        <v>0</v>
      </c>
      <c r="AI221" s="140"/>
      <c r="AJ221" s="153"/>
      <c r="AK221" s="140">
        <v>0</v>
      </c>
      <c r="AL221" s="140"/>
      <c r="AM221" s="200">
        <v>0</v>
      </c>
      <c r="AN221" s="156"/>
      <c r="AO221" s="230">
        <v>0</v>
      </c>
      <c r="AP221" s="223">
        <v>72</v>
      </c>
      <c r="AQ221" s="223">
        <v>62</v>
      </c>
      <c r="AR221" s="235">
        <v>0.86099999999999999</v>
      </c>
      <c r="AS221" s="223">
        <v>58</v>
      </c>
      <c r="AT221" s="235">
        <v>0.80600000000000005</v>
      </c>
      <c r="AU221" s="223">
        <v>57</v>
      </c>
      <c r="AV221" s="232">
        <v>0.79200000000000004</v>
      </c>
      <c r="AW221" s="223">
        <v>38</v>
      </c>
      <c r="AX221" s="223">
        <v>37</v>
      </c>
      <c r="AY221" s="235">
        <v>0.97399999999999998</v>
      </c>
      <c r="AZ221" s="223">
        <v>37</v>
      </c>
      <c r="BA221" s="235">
        <v>0.97399999999999998</v>
      </c>
      <c r="BB221" s="223">
        <v>37</v>
      </c>
      <c r="BC221" s="232">
        <v>0.97399999999999998</v>
      </c>
    </row>
    <row r="222" spans="1:55" x14ac:dyDescent="0.25">
      <c r="A222" s="226">
        <v>1</v>
      </c>
      <c r="B222" s="211" t="s">
        <v>117</v>
      </c>
      <c r="C222" s="211">
        <v>737</v>
      </c>
      <c r="D222" s="211" t="s">
        <v>398</v>
      </c>
      <c r="E222" s="211">
        <v>265</v>
      </c>
      <c r="F222" s="211">
        <v>266</v>
      </c>
      <c r="G222" s="211"/>
      <c r="H222" s="220" t="str">
        <f>HYPERLINK("https://map.geo.admin.ch/?zoom=7&amp;E=585200&amp;N=214500&amp;layers=ch.kantone.cadastralwebmap-farbe,ch.swisstopo.amtliches-strassenverzeichnis,ch.bfs.gebaeude_wohnungs_register,KML||https://tinyurl.com/yy7ya4g9/BE/0737_bdg_erw.kml","KML building")</f>
        <v>KML building</v>
      </c>
      <c r="I222" s="154">
        <v>0</v>
      </c>
      <c r="J222" s="243" t="s">
        <v>1183</v>
      </c>
      <c r="K222" s="153">
        <v>0</v>
      </c>
      <c r="L222" s="64">
        <v>0</v>
      </c>
      <c r="M222" s="64"/>
      <c r="N222" s="200">
        <v>0</v>
      </c>
      <c r="O222" s="155"/>
      <c r="P222" s="63"/>
      <c r="Q222" s="64">
        <v>0</v>
      </c>
      <c r="R222" s="64"/>
      <c r="S222" s="200">
        <v>0</v>
      </c>
      <c r="T222" s="155"/>
      <c r="U222" s="63"/>
      <c r="V222" s="64">
        <v>0</v>
      </c>
      <c r="W222" s="64"/>
      <c r="X222" s="200">
        <v>0</v>
      </c>
      <c r="Y222" s="155"/>
      <c r="Z222" s="63"/>
      <c r="AA222" s="64">
        <v>0</v>
      </c>
      <c r="AB222" s="64"/>
      <c r="AC222" s="200">
        <v>0</v>
      </c>
      <c r="AD222" s="156"/>
      <c r="AE222" s="153"/>
      <c r="AF222" s="140">
        <v>0</v>
      </c>
      <c r="AG222" s="140"/>
      <c r="AH222" s="200">
        <v>0</v>
      </c>
      <c r="AI222" s="140"/>
      <c r="AJ222" s="153"/>
      <c r="AK222" s="140">
        <v>0</v>
      </c>
      <c r="AL222" s="140"/>
      <c r="AM222" s="200">
        <v>0</v>
      </c>
      <c r="AN222" s="156"/>
      <c r="AO222" s="230">
        <v>0</v>
      </c>
      <c r="AP222" s="223">
        <v>128</v>
      </c>
      <c r="AQ222" s="223">
        <v>116</v>
      </c>
      <c r="AR222" s="235">
        <v>0.90600000000000003</v>
      </c>
      <c r="AS222" s="223">
        <v>86</v>
      </c>
      <c r="AT222" s="235">
        <v>0.67200000000000004</v>
      </c>
      <c r="AU222" s="223">
        <v>86</v>
      </c>
      <c r="AV222" s="232">
        <v>0.67200000000000004</v>
      </c>
      <c r="AW222" s="223">
        <v>68</v>
      </c>
      <c r="AX222" s="223">
        <v>67</v>
      </c>
      <c r="AY222" s="235">
        <v>0.98499999999999999</v>
      </c>
      <c r="AZ222" s="223">
        <v>56</v>
      </c>
      <c r="BA222" s="235">
        <v>0.82399999999999995</v>
      </c>
      <c r="BB222" s="223">
        <v>56</v>
      </c>
      <c r="BC222" s="232">
        <v>0.82399999999999995</v>
      </c>
    </row>
    <row r="223" spans="1:55" x14ac:dyDescent="0.25">
      <c r="A223" s="226">
        <v>1</v>
      </c>
      <c r="B223" s="211" t="s">
        <v>117</v>
      </c>
      <c r="C223" s="211">
        <v>738</v>
      </c>
      <c r="D223" s="211" t="s">
        <v>399</v>
      </c>
      <c r="E223" s="211">
        <v>472</v>
      </c>
      <c r="F223" s="211">
        <v>473</v>
      </c>
      <c r="G223" s="211"/>
      <c r="H223" s="220" t="str">
        <f>HYPERLINK("https://map.geo.admin.ch/?zoom=7&amp;E=586600&amp;N=216300&amp;layers=ch.kantone.cadastralwebmap-farbe,ch.swisstopo.amtliches-strassenverzeichnis,ch.bfs.gebaeude_wohnungs_register,KML||https://tinyurl.com/yy7ya4g9/BE/0738_bdg_erw.kml","KML building")</f>
        <v>KML building</v>
      </c>
      <c r="I223" s="154">
        <v>0</v>
      </c>
      <c r="J223" s="243" t="s">
        <v>1184</v>
      </c>
      <c r="K223" s="153">
        <v>0</v>
      </c>
      <c r="L223" s="64">
        <v>0</v>
      </c>
      <c r="M223" s="64"/>
      <c r="N223" s="200">
        <v>0</v>
      </c>
      <c r="O223" s="155"/>
      <c r="P223" s="63"/>
      <c r="Q223" s="64">
        <v>0</v>
      </c>
      <c r="R223" s="64"/>
      <c r="S223" s="200">
        <v>0</v>
      </c>
      <c r="T223" s="155"/>
      <c r="U223" s="63"/>
      <c r="V223" s="64">
        <v>0</v>
      </c>
      <c r="W223" s="64"/>
      <c r="X223" s="200">
        <v>0</v>
      </c>
      <c r="Y223" s="155"/>
      <c r="Z223" s="63"/>
      <c r="AA223" s="64">
        <v>0</v>
      </c>
      <c r="AB223" s="64"/>
      <c r="AC223" s="200">
        <v>0</v>
      </c>
      <c r="AD223" s="156"/>
      <c r="AE223" s="153"/>
      <c r="AF223" s="140">
        <v>0</v>
      </c>
      <c r="AG223" s="140"/>
      <c r="AH223" s="200">
        <v>0</v>
      </c>
      <c r="AI223" s="140"/>
      <c r="AJ223" s="153"/>
      <c r="AK223" s="140">
        <v>0</v>
      </c>
      <c r="AL223" s="140"/>
      <c r="AM223" s="200">
        <v>0</v>
      </c>
      <c r="AN223" s="156"/>
      <c r="AO223" s="230">
        <v>0</v>
      </c>
      <c r="AP223" s="223">
        <v>203</v>
      </c>
      <c r="AQ223" s="223">
        <v>189</v>
      </c>
      <c r="AR223" s="235">
        <v>0.93100000000000005</v>
      </c>
      <c r="AS223" s="223">
        <v>145</v>
      </c>
      <c r="AT223" s="235">
        <v>0.71399999999999997</v>
      </c>
      <c r="AU223" s="223">
        <v>143</v>
      </c>
      <c r="AV223" s="232">
        <v>0.70399999999999996</v>
      </c>
      <c r="AW223" s="223">
        <v>92</v>
      </c>
      <c r="AX223" s="223">
        <v>88</v>
      </c>
      <c r="AY223" s="235">
        <v>0.95699999999999996</v>
      </c>
      <c r="AZ223" s="223">
        <v>88</v>
      </c>
      <c r="BA223" s="235">
        <v>0.95699999999999996</v>
      </c>
      <c r="BB223" s="223">
        <v>86</v>
      </c>
      <c r="BC223" s="232">
        <v>0.93500000000000005</v>
      </c>
    </row>
    <row r="224" spans="1:55" x14ac:dyDescent="0.25">
      <c r="A224" s="226">
        <v>1</v>
      </c>
      <c r="B224" s="211" t="s">
        <v>117</v>
      </c>
      <c r="C224" s="211">
        <v>739</v>
      </c>
      <c r="D224" s="211" t="s">
        <v>400</v>
      </c>
      <c r="E224" s="211">
        <v>1126</v>
      </c>
      <c r="F224" s="211">
        <v>1132</v>
      </c>
      <c r="G224" s="211"/>
      <c r="H224" s="220" t="str">
        <f>HYPERLINK("https://map.geo.admin.ch/?zoom=7&amp;E=584500&amp;N=218400&amp;layers=ch.kantone.cadastralwebmap-farbe,ch.swisstopo.amtliches-strassenverzeichnis,ch.bfs.gebaeude_wohnungs_register,KML||https://tinyurl.com/yy7ya4g9/BE/0739_bdg_erw.kml","KML building")</f>
        <v>KML building</v>
      </c>
      <c r="I224" s="154">
        <v>0</v>
      </c>
      <c r="J224" s="243" t="s">
        <v>1185</v>
      </c>
      <c r="K224" s="153">
        <v>0</v>
      </c>
      <c r="L224" s="64">
        <v>0</v>
      </c>
      <c r="M224" s="64"/>
      <c r="N224" s="200">
        <v>0</v>
      </c>
      <c r="O224" s="155"/>
      <c r="P224" s="63"/>
      <c r="Q224" s="64">
        <v>0</v>
      </c>
      <c r="R224" s="64"/>
      <c r="S224" s="200">
        <v>0</v>
      </c>
      <c r="T224" s="155"/>
      <c r="U224" s="63"/>
      <c r="V224" s="64">
        <v>0</v>
      </c>
      <c r="W224" s="64"/>
      <c r="X224" s="200">
        <v>0</v>
      </c>
      <c r="Y224" s="155"/>
      <c r="Z224" s="63"/>
      <c r="AA224" s="64">
        <v>0</v>
      </c>
      <c r="AB224" s="64"/>
      <c r="AC224" s="200">
        <v>0</v>
      </c>
      <c r="AD224" s="156"/>
      <c r="AE224" s="153"/>
      <c r="AF224" s="140">
        <v>1</v>
      </c>
      <c r="AG224" s="140"/>
      <c r="AH224" s="200">
        <v>8.9999999999999998E-4</v>
      </c>
      <c r="AI224" s="140"/>
      <c r="AJ224" s="153"/>
      <c r="AK224" s="140">
        <v>0</v>
      </c>
      <c r="AL224" s="140"/>
      <c r="AM224" s="200">
        <v>0</v>
      </c>
      <c r="AN224" s="156"/>
      <c r="AO224" s="230">
        <v>8.9999999999999998E-4</v>
      </c>
      <c r="AP224" s="223">
        <v>339</v>
      </c>
      <c r="AQ224" s="223">
        <v>274</v>
      </c>
      <c r="AR224" s="235">
        <v>0.80800000000000005</v>
      </c>
      <c r="AS224" s="223">
        <v>266</v>
      </c>
      <c r="AT224" s="235">
        <v>0.78500000000000003</v>
      </c>
      <c r="AU224" s="223">
        <v>255</v>
      </c>
      <c r="AV224" s="232">
        <v>0.752</v>
      </c>
      <c r="AW224" s="223">
        <v>142</v>
      </c>
      <c r="AX224" s="223">
        <v>124</v>
      </c>
      <c r="AY224" s="235">
        <v>0.873</v>
      </c>
      <c r="AZ224" s="223">
        <v>129</v>
      </c>
      <c r="BA224" s="235">
        <v>0.90800000000000003</v>
      </c>
      <c r="BB224" s="223">
        <v>122</v>
      </c>
      <c r="BC224" s="232">
        <v>0.85899999999999999</v>
      </c>
    </row>
    <row r="225" spans="1:55" x14ac:dyDescent="0.25">
      <c r="A225" s="226">
        <v>1</v>
      </c>
      <c r="B225" s="211" t="s">
        <v>117</v>
      </c>
      <c r="C225" s="211">
        <v>740</v>
      </c>
      <c r="D225" s="211" t="s">
        <v>401</v>
      </c>
      <c r="E225" s="211">
        <v>376</v>
      </c>
      <c r="F225" s="211">
        <v>377</v>
      </c>
      <c r="G225" s="211"/>
      <c r="H225" s="220" t="str">
        <f>HYPERLINK("https://map.geo.admin.ch/?zoom=7&amp;E=577100&amp;N=214900&amp;layers=ch.kantone.cadastralwebmap-farbe,ch.swisstopo.amtliches-strassenverzeichnis,ch.bfs.gebaeude_wohnungs_register,KML||https://tinyurl.com/yy7ya4g9/BE/0740_bdg_erw.kml","KML building")</f>
        <v>KML building</v>
      </c>
      <c r="I225" s="154">
        <v>0</v>
      </c>
      <c r="J225" s="243" t="s">
        <v>1186</v>
      </c>
      <c r="K225" s="153">
        <v>0</v>
      </c>
      <c r="L225" s="64">
        <v>0</v>
      </c>
      <c r="M225" s="64"/>
      <c r="N225" s="200">
        <v>0</v>
      </c>
      <c r="O225" s="155"/>
      <c r="P225" s="63"/>
      <c r="Q225" s="64">
        <v>0</v>
      </c>
      <c r="R225" s="64"/>
      <c r="S225" s="200">
        <v>0</v>
      </c>
      <c r="T225" s="155"/>
      <c r="U225" s="63"/>
      <c r="V225" s="64">
        <v>0</v>
      </c>
      <c r="W225" s="64"/>
      <c r="X225" s="200">
        <v>0</v>
      </c>
      <c r="Y225" s="155"/>
      <c r="Z225" s="63"/>
      <c r="AA225" s="64">
        <v>0</v>
      </c>
      <c r="AB225" s="64"/>
      <c r="AC225" s="200">
        <v>0</v>
      </c>
      <c r="AD225" s="156"/>
      <c r="AE225" s="153"/>
      <c r="AF225" s="140">
        <v>1</v>
      </c>
      <c r="AG225" s="140"/>
      <c r="AH225" s="200">
        <v>2.7000000000000001E-3</v>
      </c>
      <c r="AI225" s="140"/>
      <c r="AJ225" s="153"/>
      <c r="AK225" s="140">
        <v>0</v>
      </c>
      <c r="AL225" s="140"/>
      <c r="AM225" s="200">
        <v>0</v>
      </c>
      <c r="AN225" s="156"/>
      <c r="AO225" s="230">
        <v>2.7000000000000001E-3</v>
      </c>
      <c r="AP225" s="223">
        <v>116</v>
      </c>
      <c r="AQ225" s="223">
        <v>94</v>
      </c>
      <c r="AR225" s="235">
        <v>0.81</v>
      </c>
      <c r="AS225" s="223">
        <v>91</v>
      </c>
      <c r="AT225" s="235">
        <v>0.78400000000000003</v>
      </c>
      <c r="AU225" s="223">
        <v>83</v>
      </c>
      <c r="AV225" s="232">
        <v>0.71599999999999997</v>
      </c>
      <c r="AW225" s="223">
        <v>53</v>
      </c>
      <c r="AX225" s="223">
        <v>51</v>
      </c>
      <c r="AY225" s="235">
        <v>0.96199999999999997</v>
      </c>
      <c r="AZ225" s="223">
        <v>47</v>
      </c>
      <c r="BA225" s="235">
        <v>0.88700000000000001</v>
      </c>
      <c r="BB225" s="223">
        <v>46</v>
      </c>
      <c r="BC225" s="232">
        <v>0.86799999999999999</v>
      </c>
    </row>
    <row r="226" spans="1:55" x14ac:dyDescent="0.25">
      <c r="A226" s="226">
        <v>1</v>
      </c>
      <c r="B226" s="211" t="s">
        <v>117</v>
      </c>
      <c r="C226" s="211">
        <v>741</v>
      </c>
      <c r="D226" s="211" t="s">
        <v>402</v>
      </c>
      <c r="E226" s="211">
        <v>267</v>
      </c>
      <c r="F226" s="211">
        <v>268</v>
      </c>
      <c r="G226" s="211"/>
      <c r="H226" s="220" t="str">
        <f>HYPERLINK("https://map.geo.admin.ch/?zoom=7&amp;E=585800&amp;N=215100&amp;layers=ch.kantone.cadastralwebmap-farbe,ch.swisstopo.amtliches-strassenverzeichnis,ch.bfs.gebaeude_wohnungs_register,KML||https://tinyurl.com/yy7ya4g9/BE/0741_bdg_erw.kml","KML building")</f>
        <v>KML building</v>
      </c>
      <c r="I226" s="154">
        <v>0</v>
      </c>
      <c r="J226" s="243" t="s">
        <v>1187</v>
      </c>
      <c r="K226" s="153">
        <v>0</v>
      </c>
      <c r="L226" s="64">
        <v>0</v>
      </c>
      <c r="M226" s="64"/>
      <c r="N226" s="200">
        <v>0</v>
      </c>
      <c r="O226" s="155"/>
      <c r="P226" s="63"/>
      <c r="Q226" s="64">
        <v>0</v>
      </c>
      <c r="R226" s="64"/>
      <c r="S226" s="200">
        <v>0</v>
      </c>
      <c r="T226" s="155"/>
      <c r="U226" s="63"/>
      <c r="V226" s="64">
        <v>0</v>
      </c>
      <c r="W226" s="64"/>
      <c r="X226" s="200">
        <v>0</v>
      </c>
      <c r="Y226" s="155"/>
      <c r="Z226" s="63"/>
      <c r="AA226" s="64">
        <v>0</v>
      </c>
      <c r="AB226" s="64"/>
      <c r="AC226" s="200">
        <v>0</v>
      </c>
      <c r="AD226" s="156"/>
      <c r="AE226" s="153"/>
      <c r="AF226" s="140">
        <v>1</v>
      </c>
      <c r="AG226" s="140"/>
      <c r="AH226" s="200">
        <v>3.7000000000000002E-3</v>
      </c>
      <c r="AI226" s="140"/>
      <c r="AJ226" s="153"/>
      <c r="AK226" s="140">
        <v>0</v>
      </c>
      <c r="AL226" s="140"/>
      <c r="AM226" s="200">
        <v>0</v>
      </c>
      <c r="AN226" s="156"/>
      <c r="AO226" s="230">
        <v>3.7000000000000002E-3</v>
      </c>
      <c r="AP226" s="223">
        <v>102</v>
      </c>
      <c r="AQ226" s="223">
        <v>85</v>
      </c>
      <c r="AR226" s="235">
        <v>0.83299999999999996</v>
      </c>
      <c r="AS226" s="223">
        <v>75</v>
      </c>
      <c r="AT226" s="235">
        <v>0.73499999999999999</v>
      </c>
      <c r="AU226" s="223">
        <v>74</v>
      </c>
      <c r="AV226" s="232">
        <v>0.72499999999999998</v>
      </c>
      <c r="AW226" s="223">
        <v>53</v>
      </c>
      <c r="AX226" s="223">
        <v>52</v>
      </c>
      <c r="AY226" s="235">
        <v>0.98099999999999998</v>
      </c>
      <c r="AZ226" s="223">
        <v>48</v>
      </c>
      <c r="BA226" s="235">
        <v>0.90600000000000003</v>
      </c>
      <c r="BB226" s="223">
        <v>48</v>
      </c>
      <c r="BC226" s="232">
        <v>0.90600000000000003</v>
      </c>
    </row>
    <row r="227" spans="1:55" x14ac:dyDescent="0.25">
      <c r="A227" s="226">
        <v>1</v>
      </c>
      <c r="B227" s="211" t="s">
        <v>117</v>
      </c>
      <c r="C227" s="211">
        <v>742</v>
      </c>
      <c r="D227" s="211" t="s">
        <v>403</v>
      </c>
      <c r="E227" s="211">
        <v>482</v>
      </c>
      <c r="F227" s="211">
        <v>483</v>
      </c>
      <c r="G227" s="211"/>
      <c r="H227" s="220" t="str">
        <f>HYPERLINK("https://map.geo.admin.ch/?zoom=7&amp;E=582900&amp;N=214900&amp;layers=ch.kantone.cadastralwebmap-farbe,ch.swisstopo.amtliches-strassenverzeichnis,ch.bfs.gebaeude_wohnungs_register,KML||https://tinyurl.com/yy7ya4g9/BE/0742_bdg_erw.kml","KML building")</f>
        <v>KML building</v>
      </c>
      <c r="I227" s="154">
        <v>4</v>
      </c>
      <c r="J227" s="243" t="s">
        <v>1188</v>
      </c>
      <c r="K227" s="153">
        <v>8.2987551867219917E-3</v>
      </c>
      <c r="L227" s="64">
        <v>0</v>
      </c>
      <c r="M227" s="64"/>
      <c r="N227" s="200">
        <v>0</v>
      </c>
      <c r="O227" s="155"/>
      <c r="P227" s="63"/>
      <c r="Q227" s="64">
        <v>0</v>
      </c>
      <c r="R227" s="64"/>
      <c r="S227" s="200">
        <v>0</v>
      </c>
      <c r="T227" s="155"/>
      <c r="U227" s="63"/>
      <c r="V227" s="64">
        <v>0</v>
      </c>
      <c r="W227" s="64"/>
      <c r="X227" s="200">
        <v>0</v>
      </c>
      <c r="Y227" s="155"/>
      <c r="Z227" s="63"/>
      <c r="AA227" s="64">
        <v>0</v>
      </c>
      <c r="AB227" s="64"/>
      <c r="AC227" s="200">
        <v>0</v>
      </c>
      <c r="AD227" s="156"/>
      <c r="AE227" s="153"/>
      <c r="AF227" s="140">
        <v>1</v>
      </c>
      <c r="AG227" s="140"/>
      <c r="AH227" s="200">
        <v>2.0999999999999999E-3</v>
      </c>
      <c r="AI227" s="140"/>
      <c r="AJ227" s="153"/>
      <c r="AK227" s="140">
        <v>2</v>
      </c>
      <c r="AL227" s="140"/>
      <c r="AM227" s="200">
        <v>4.1000000000000003E-3</v>
      </c>
      <c r="AN227" s="156"/>
      <c r="AO227" s="230">
        <v>6.2000000000000006E-3</v>
      </c>
      <c r="AP227" s="223">
        <v>147</v>
      </c>
      <c r="AQ227" s="223">
        <v>131</v>
      </c>
      <c r="AR227" s="235">
        <v>0.89100000000000001</v>
      </c>
      <c r="AS227" s="223">
        <v>112</v>
      </c>
      <c r="AT227" s="235">
        <v>0.76200000000000001</v>
      </c>
      <c r="AU227" s="223">
        <v>109</v>
      </c>
      <c r="AV227" s="232">
        <v>0.74099999999999999</v>
      </c>
      <c r="AW227" s="223">
        <v>73</v>
      </c>
      <c r="AX227" s="223">
        <v>70</v>
      </c>
      <c r="AY227" s="235">
        <v>0.95899999999999996</v>
      </c>
      <c r="AZ227" s="223">
        <v>65</v>
      </c>
      <c r="BA227" s="235">
        <v>0.89</v>
      </c>
      <c r="BB227" s="223">
        <v>65</v>
      </c>
      <c r="BC227" s="232">
        <v>0.89</v>
      </c>
    </row>
    <row r="228" spans="1:55" x14ac:dyDescent="0.25">
      <c r="A228" s="226">
        <v>1</v>
      </c>
      <c r="B228" s="211" t="s">
        <v>117</v>
      </c>
      <c r="C228" s="211">
        <v>743</v>
      </c>
      <c r="D228" s="211" t="s">
        <v>404</v>
      </c>
      <c r="E228" s="211">
        <v>1413</v>
      </c>
      <c r="F228" s="211">
        <v>1430</v>
      </c>
      <c r="G228" s="211"/>
      <c r="H228" s="220" t="str">
        <f>HYPERLINK("https://map.geo.admin.ch/?zoom=7&amp;E=584900&amp;N=219300&amp;layers=ch.kantone.cadastralwebmap-farbe,ch.swisstopo.amtliches-strassenverzeichnis,ch.bfs.gebaeude_wohnungs_register,KML||https://tinyurl.com/yy7ya4g9/BE/0743_bdg_erw.kml","KML building")</f>
        <v>KML building</v>
      </c>
      <c r="I228" s="154">
        <v>0</v>
      </c>
      <c r="J228" s="243" t="s">
        <v>1189</v>
      </c>
      <c r="K228" s="153">
        <v>0</v>
      </c>
      <c r="L228" s="64">
        <v>0</v>
      </c>
      <c r="M228" s="64"/>
      <c r="N228" s="200">
        <v>0</v>
      </c>
      <c r="O228" s="155"/>
      <c r="P228" s="63"/>
      <c r="Q228" s="64">
        <v>0</v>
      </c>
      <c r="R228" s="64"/>
      <c r="S228" s="200">
        <v>0</v>
      </c>
      <c r="T228" s="155"/>
      <c r="U228" s="63"/>
      <c r="V228" s="64">
        <v>0</v>
      </c>
      <c r="W228" s="64"/>
      <c r="X228" s="200">
        <v>0</v>
      </c>
      <c r="Y228" s="155"/>
      <c r="Z228" s="63"/>
      <c r="AA228" s="64">
        <v>0</v>
      </c>
      <c r="AB228" s="64"/>
      <c r="AC228" s="200">
        <v>0</v>
      </c>
      <c r="AD228" s="156"/>
      <c r="AE228" s="153"/>
      <c r="AF228" s="140">
        <v>3</v>
      </c>
      <c r="AG228" s="140"/>
      <c r="AH228" s="200">
        <v>2.0999999999999999E-3</v>
      </c>
      <c r="AI228" s="140"/>
      <c r="AJ228" s="153"/>
      <c r="AK228" s="140">
        <v>0</v>
      </c>
      <c r="AL228" s="140"/>
      <c r="AM228" s="200">
        <v>0</v>
      </c>
      <c r="AN228" s="156"/>
      <c r="AO228" s="230">
        <v>2.0999999999999999E-3</v>
      </c>
      <c r="AP228" s="223">
        <v>389</v>
      </c>
      <c r="AQ228" s="223">
        <v>323</v>
      </c>
      <c r="AR228" s="235">
        <v>0.83</v>
      </c>
      <c r="AS228" s="223">
        <v>335</v>
      </c>
      <c r="AT228" s="235">
        <v>0.86099999999999999</v>
      </c>
      <c r="AU228" s="223">
        <v>300</v>
      </c>
      <c r="AV228" s="232">
        <v>0.77100000000000002</v>
      </c>
      <c r="AW228" s="223">
        <v>199</v>
      </c>
      <c r="AX228" s="223">
        <v>193</v>
      </c>
      <c r="AY228" s="235">
        <v>0.97</v>
      </c>
      <c r="AZ228" s="223">
        <v>190</v>
      </c>
      <c r="BA228" s="235">
        <v>0.95499999999999996</v>
      </c>
      <c r="BB228" s="223">
        <v>185</v>
      </c>
      <c r="BC228" s="232">
        <v>0.93</v>
      </c>
    </row>
    <row r="229" spans="1:55" x14ac:dyDescent="0.25">
      <c r="A229" s="226">
        <v>1</v>
      </c>
      <c r="B229" s="211" t="s">
        <v>117</v>
      </c>
      <c r="C229" s="211">
        <v>744</v>
      </c>
      <c r="D229" s="211" t="s">
        <v>405</v>
      </c>
      <c r="E229" s="211">
        <v>1110</v>
      </c>
      <c r="F229" s="211">
        <v>1110</v>
      </c>
      <c r="G229" s="211"/>
      <c r="H229" s="220" t="str">
        <f>HYPERLINK("https://map.geo.admin.ch/?zoom=7&amp;E=590000&amp;N=220900&amp;layers=ch.kantone.cadastralwebmap-farbe,ch.swisstopo.amtliches-strassenverzeichnis,ch.bfs.gebaeude_wohnungs_register,KML||https://tinyurl.com/yy7ya4g9/BE/0744_bdg_erw.kml","KML building")</f>
        <v>KML building</v>
      </c>
      <c r="I229" s="154">
        <v>0</v>
      </c>
      <c r="J229" s="243" t="s">
        <v>1190</v>
      </c>
      <c r="K229" s="153">
        <v>0</v>
      </c>
      <c r="L229" s="64">
        <v>0</v>
      </c>
      <c r="M229" s="64"/>
      <c r="N229" s="200">
        <v>0</v>
      </c>
      <c r="O229" s="155"/>
      <c r="P229" s="63"/>
      <c r="Q229" s="64">
        <v>0</v>
      </c>
      <c r="R229" s="64"/>
      <c r="S229" s="200">
        <v>0</v>
      </c>
      <c r="T229" s="155"/>
      <c r="U229" s="63"/>
      <c r="V229" s="64">
        <v>0</v>
      </c>
      <c r="W229" s="64"/>
      <c r="X229" s="200">
        <v>0</v>
      </c>
      <c r="Y229" s="155"/>
      <c r="Z229" s="63"/>
      <c r="AA229" s="64">
        <v>0</v>
      </c>
      <c r="AB229" s="64"/>
      <c r="AC229" s="200">
        <v>0</v>
      </c>
      <c r="AD229" s="156"/>
      <c r="AE229" s="153"/>
      <c r="AF229" s="140">
        <v>0</v>
      </c>
      <c r="AG229" s="140"/>
      <c r="AH229" s="200">
        <v>0</v>
      </c>
      <c r="AI229" s="140"/>
      <c r="AJ229" s="153"/>
      <c r="AK229" s="140">
        <v>1</v>
      </c>
      <c r="AL229" s="140"/>
      <c r="AM229" s="200">
        <v>8.9999999999999998E-4</v>
      </c>
      <c r="AN229" s="156"/>
      <c r="AO229" s="230">
        <v>8.9999999999999998E-4</v>
      </c>
      <c r="AP229" s="223">
        <v>359</v>
      </c>
      <c r="AQ229" s="223">
        <v>287</v>
      </c>
      <c r="AR229" s="235">
        <v>0.79900000000000004</v>
      </c>
      <c r="AS229" s="223">
        <v>268</v>
      </c>
      <c r="AT229" s="235">
        <v>0.747</v>
      </c>
      <c r="AU229" s="223">
        <v>253</v>
      </c>
      <c r="AV229" s="232">
        <v>0.70499999999999996</v>
      </c>
      <c r="AW229" s="223">
        <v>178</v>
      </c>
      <c r="AX229" s="223">
        <v>160</v>
      </c>
      <c r="AY229" s="235">
        <v>0.89900000000000002</v>
      </c>
      <c r="AZ229" s="223">
        <v>152</v>
      </c>
      <c r="BA229" s="235">
        <v>0.85399999999999998</v>
      </c>
      <c r="BB229" s="223">
        <v>150</v>
      </c>
      <c r="BC229" s="232">
        <v>0.84299999999999997</v>
      </c>
    </row>
    <row r="230" spans="1:55" x14ac:dyDescent="0.25">
      <c r="A230" s="226">
        <v>1</v>
      </c>
      <c r="B230" s="211" t="s">
        <v>117</v>
      </c>
      <c r="C230" s="211">
        <v>745</v>
      </c>
      <c r="D230" s="211" t="s">
        <v>406</v>
      </c>
      <c r="E230" s="211">
        <v>1204</v>
      </c>
      <c r="F230" s="211">
        <v>1210</v>
      </c>
      <c r="G230" s="211"/>
      <c r="H230" s="220" t="str">
        <f>HYPERLINK("https://map.geo.admin.ch/?zoom=7&amp;E=586100&amp;N=218400&amp;layers=ch.kantone.cadastralwebmap-farbe,ch.swisstopo.amtliches-strassenverzeichnis,ch.bfs.gebaeude_wohnungs_register,KML||https://tinyurl.com/yy7ya4g9/BE/0745_bdg_erw.kml","KML building")</f>
        <v>KML building</v>
      </c>
      <c r="I230" s="154">
        <v>0</v>
      </c>
      <c r="J230" s="243" t="s">
        <v>1191</v>
      </c>
      <c r="K230" s="153">
        <v>0</v>
      </c>
      <c r="L230" s="64">
        <v>0</v>
      </c>
      <c r="M230" s="64"/>
      <c r="N230" s="200">
        <v>0</v>
      </c>
      <c r="O230" s="155"/>
      <c r="P230" s="63"/>
      <c r="Q230" s="64">
        <v>0</v>
      </c>
      <c r="R230" s="64"/>
      <c r="S230" s="200">
        <v>0</v>
      </c>
      <c r="T230" s="155"/>
      <c r="U230" s="63"/>
      <c r="V230" s="64">
        <v>0</v>
      </c>
      <c r="W230" s="64"/>
      <c r="X230" s="200">
        <v>0</v>
      </c>
      <c r="Y230" s="155"/>
      <c r="Z230" s="63"/>
      <c r="AA230" s="64">
        <v>0</v>
      </c>
      <c r="AB230" s="64"/>
      <c r="AC230" s="200">
        <v>0</v>
      </c>
      <c r="AD230" s="156"/>
      <c r="AE230" s="153"/>
      <c r="AF230" s="140">
        <v>2</v>
      </c>
      <c r="AG230" s="140"/>
      <c r="AH230" s="200">
        <v>1.6999999999999999E-3</v>
      </c>
      <c r="AI230" s="140"/>
      <c r="AJ230" s="153"/>
      <c r="AK230" s="140">
        <v>0</v>
      </c>
      <c r="AL230" s="140"/>
      <c r="AM230" s="200">
        <v>0</v>
      </c>
      <c r="AN230" s="156"/>
      <c r="AO230" s="230">
        <v>1.6999999999999999E-3</v>
      </c>
      <c r="AP230" s="223">
        <v>276</v>
      </c>
      <c r="AQ230" s="223">
        <v>230</v>
      </c>
      <c r="AR230" s="235">
        <v>0.83299999999999996</v>
      </c>
      <c r="AS230" s="223">
        <v>213</v>
      </c>
      <c r="AT230" s="235">
        <v>0.77200000000000002</v>
      </c>
      <c r="AU230" s="223">
        <v>201</v>
      </c>
      <c r="AV230" s="232">
        <v>0.72799999999999998</v>
      </c>
      <c r="AW230" s="223">
        <v>129</v>
      </c>
      <c r="AX230" s="223">
        <v>126</v>
      </c>
      <c r="AY230" s="235">
        <v>0.97699999999999998</v>
      </c>
      <c r="AZ230" s="223">
        <v>116</v>
      </c>
      <c r="BA230" s="235">
        <v>0.89900000000000002</v>
      </c>
      <c r="BB230" s="223">
        <v>114</v>
      </c>
      <c r="BC230" s="232">
        <v>0.88400000000000001</v>
      </c>
    </row>
    <row r="231" spans="1:55" x14ac:dyDescent="0.25">
      <c r="A231" s="226">
        <v>1</v>
      </c>
      <c r="B231" s="211" t="s">
        <v>117</v>
      </c>
      <c r="C231" s="211">
        <v>746</v>
      </c>
      <c r="D231" s="211" t="s">
        <v>407</v>
      </c>
      <c r="E231" s="211">
        <v>1030</v>
      </c>
      <c r="F231" s="211">
        <v>1058</v>
      </c>
      <c r="G231" s="211"/>
      <c r="H231" s="220" t="str">
        <f>HYPERLINK("https://map.geo.admin.ch/?zoom=7&amp;E=591300&amp;N=222100&amp;layers=ch.kantone.cadastralwebmap-farbe,ch.swisstopo.amtliches-strassenverzeichnis,ch.bfs.gebaeude_wohnungs_register,KML||https://tinyurl.com/yy7ya4g9/BE/0746_bdg_erw.kml","KML building")</f>
        <v>KML building</v>
      </c>
      <c r="I231" s="154">
        <v>1</v>
      </c>
      <c r="J231" s="243" t="s">
        <v>1192</v>
      </c>
      <c r="K231" s="153">
        <v>9.7087378640776695E-4</v>
      </c>
      <c r="L231" s="64">
        <v>0</v>
      </c>
      <c r="M231" s="64"/>
      <c r="N231" s="200">
        <v>0</v>
      </c>
      <c r="O231" s="155"/>
      <c r="P231" s="63"/>
      <c r="Q231" s="64">
        <v>0</v>
      </c>
      <c r="R231" s="64"/>
      <c r="S231" s="200">
        <v>0</v>
      </c>
      <c r="T231" s="155"/>
      <c r="U231" s="63"/>
      <c r="V231" s="64">
        <v>0</v>
      </c>
      <c r="W231" s="64"/>
      <c r="X231" s="200">
        <v>0</v>
      </c>
      <c r="Y231" s="155"/>
      <c r="Z231" s="63"/>
      <c r="AA231" s="64">
        <v>0</v>
      </c>
      <c r="AB231" s="64"/>
      <c r="AC231" s="200">
        <v>0</v>
      </c>
      <c r="AD231" s="156"/>
      <c r="AE231" s="153"/>
      <c r="AF231" s="140">
        <v>6</v>
      </c>
      <c r="AG231" s="140"/>
      <c r="AH231" s="200">
        <v>5.7999999999999996E-3</v>
      </c>
      <c r="AI231" s="140"/>
      <c r="AJ231" s="153"/>
      <c r="AK231" s="140">
        <v>3</v>
      </c>
      <c r="AL231" s="140"/>
      <c r="AM231" s="200">
        <v>2.8999999999999998E-3</v>
      </c>
      <c r="AN231" s="156"/>
      <c r="AO231" s="230">
        <v>8.6999999999999994E-3</v>
      </c>
      <c r="AP231" s="223">
        <v>390</v>
      </c>
      <c r="AQ231" s="223">
        <v>351</v>
      </c>
      <c r="AR231" s="235">
        <v>0.9</v>
      </c>
      <c r="AS231" s="223">
        <v>324</v>
      </c>
      <c r="AT231" s="235">
        <v>0.83099999999999996</v>
      </c>
      <c r="AU231" s="223">
        <v>309</v>
      </c>
      <c r="AV231" s="232">
        <v>0.79200000000000004</v>
      </c>
      <c r="AW231" s="223">
        <v>190</v>
      </c>
      <c r="AX231" s="223">
        <v>188</v>
      </c>
      <c r="AY231" s="235">
        <v>0.98899999999999999</v>
      </c>
      <c r="AZ231" s="223">
        <v>172</v>
      </c>
      <c r="BA231" s="235">
        <v>0.90500000000000003</v>
      </c>
      <c r="BB231" s="223">
        <v>170</v>
      </c>
      <c r="BC231" s="232">
        <v>0.89500000000000002</v>
      </c>
    </row>
    <row r="232" spans="1:55" x14ac:dyDescent="0.25">
      <c r="A232" s="226">
        <v>1</v>
      </c>
      <c r="B232" s="211" t="s">
        <v>117</v>
      </c>
      <c r="C232" s="211">
        <v>747</v>
      </c>
      <c r="D232" s="211" t="s">
        <v>408</v>
      </c>
      <c r="E232" s="211">
        <v>336</v>
      </c>
      <c r="F232" s="211">
        <v>338</v>
      </c>
      <c r="G232" s="211"/>
      <c r="H232" s="220" t="str">
        <f>HYPERLINK("https://map.geo.admin.ch/?zoom=7&amp;E=590800&amp;N=220300&amp;layers=ch.kantone.cadastralwebmap-farbe,ch.swisstopo.amtliches-strassenverzeichnis,ch.bfs.gebaeude_wohnungs_register,KML||https://tinyurl.com/yy7ya4g9/BE/0747_bdg_erw.kml","KML building")</f>
        <v>KML building</v>
      </c>
      <c r="I232" s="154">
        <v>2</v>
      </c>
      <c r="J232" s="243" t="s">
        <v>1193</v>
      </c>
      <c r="K232" s="153">
        <v>5.9523809523809521E-3</v>
      </c>
      <c r="L232" s="64">
        <v>0</v>
      </c>
      <c r="M232" s="64"/>
      <c r="N232" s="200">
        <v>0</v>
      </c>
      <c r="O232" s="155"/>
      <c r="P232" s="63"/>
      <c r="Q232" s="64">
        <v>0</v>
      </c>
      <c r="R232" s="64"/>
      <c r="S232" s="200">
        <v>0</v>
      </c>
      <c r="T232" s="155"/>
      <c r="U232" s="63"/>
      <c r="V232" s="64">
        <v>0</v>
      </c>
      <c r="W232" s="64"/>
      <c r="X232" s="200">
        <v>0</v>
      </c>
      <c r="Y232" s="155"/>
      <c r="Z232" s="63"/>
      <c r="AA232" s="64">
        <v>0</v>
      </c>
      <c r="AB232" s="64"/>
      <c r="AC232" s="200">
        <v>0</v>
      </c>
      <c r="AD232" s="156"/>
      <c r="AE232" s="153"/>
      <c r="AF232" s="140">
        <v>2</v>
      </c>
      <c r="AG232" s="140"/>
      <c r="AH232" s="200">
        <v>6.0000000000000001E-3</v>
      </c>
      <c r="AI232" s="140"/>
      <c r="AJ232" s="153"/>
      <c r="AK232" s="140">
        <v>0</v>
      </c>
      <c r="AL232" s="140"/>
      <c r="AM232" s="200">
        <v>0</v>
      </c>
      <c r="AN232" s="156"/>
      <c r="AO232" s="230">
        <v>6.0000000000000001E-3</v>
      </c>
      <c r="AP232" s="223">
        <v>142</v>
      </c>
      <c r="AQ232" s="223">
        <v>124</v>
      </c>
      <c r="AR232" s="235">
        <v>0.873</v>
      </c>
      <c r="AS232" s="223">
        <v>114</v>
      </c>
      <c r="AT232" s="235">
        <v>0.80300000000000005</v>
      </c>
      <c r="AU232" s="223">
        <v>110</v>
      </c>
      <c r="AV232" s="232">
        <v>0.77500000000000002</v>
      </c>
      <c r="AW232" s="223">
        <v>83</v>
      </c>
      <c r="AX232" s="223">
        <v>80</v>
      </c>
      <c r="AY232" s="235">
        <v>0.96399999999999997</v>
      </c>
      <c r="AZ232" s="223">
        <v>74</v>
      </c>
      <c r="BA232" s="235">
        <v>0.89200000000000002</v>
      </c>
      <c r="BB232" s="223">
        <v>74</v>
      </c>
      <c r="BC232" s="232">
        <v>0.89200000000000002</v>
      </c>
    </row>
    <row r="233" spans="1:55" x14ac:dyDescent="0.25">
      <c r="A233" s="226">
        <v>1</v>
      </c>
      <c r="B233" s="211" t="s">
        <v>117</v>
      </c>
      <c r="C233" s="211">
        <v>748</v>
      </c>
      <c r="D233" s="211" t="s">
        <v>409</v>
      </c>
      <c r="E233" s="211">
        <v>441</v>
      </c>
      <c r="F233" s="211">
        <v>441</v>
      </c>
      <c r="G233" s="211"/>
      <c r="H233" s="220" t="str">
        <f>HYPERLINK("https://map.geo.admin.ch/?zoom=7&amp;E=590000&amp;N=219800&amp;layers=ch.kantone.cadastralwebmap-farbe,ch.swisstopo.amtliches-strassenverzeichnis,ch.bfs.gebaeude_wohnungs_register,KML||https://tinyurl.com/yy7ya4g9/BE/0748_bdg_erw.kml","KML building")</f>
        <v>KML building</v>
      </c>
      <c r="I233" s="154">
        <v>0</v>
      </c>
      <c r="J233" s="243" t="s">
        <v>1194</v>
      </c>
      <c r="K233" s="153">
        <v>0</v>
      </c>
      <c r="L233" s="64">
        <v>0</v>
      </c>
      <c r="M233" s="64"/>
      <c r="N233" s="200">
        <v>0</v>
      </c>
      <c r="O233" s="155"/>
      <c r="P233" s="63"/>
      <c r="Q233" s="64">
        <v>0</v>
      </c>
      <c r="R233" s="64"/>
      <c r="S233" s="200">
        <v>0</v>
      </c>
      <c r="T233" s="155"/>
      <c r="U233" s="63"/>
      <c r="V233" s="64">
        <v>0</v>
      </c>
      <c r="W233" s="64"/>
      <c r="X233" s="200">
        <v>0</v>
      </c>
      <c r="Y233" s="155"/>
      <c r="Z233" s="63"/>
      <c r="AA233" s="64">
        <v>0</v>
      </c>
      <c r="AB233" s="64"/>
      <c r="AC233" s="200">
        <v>0</v>
      </c>
      <c r="AD233" s="156"/>
      <c r="AE233" s="153"/>
      <c r="AF233" s="140">
        <v>2</v>
      </c>
      <c r="AG233" s="140"/>
      <c r="AH233" s="200">
        <v>4.4999999999999997E-3</v>
      </c>
      <c r="AI233" s="140"/>
      <c r="AJ233" s="153"/>
      <c r="AK233" s="140">
        <v>0</v>
      </c>
      <c r="AL233" s="140"/>
      <c r="AM233" s="200">
        <v>0</v>
      </c>
      <c r="AN233" s="156"/>
      <c r="AO233" s="230">
        <v>4.4999999999999997E-3</v>
      </c>
      <c r="AP233" s="223">
        <v>210</v>
      </c>
      <c r="AQ233" s="223">
        <v>187</v>
      </c>
      <c r="AR233" s="235">
        <v>0.89</v>
      </c>
      <c r="AS233" s="223">
        <v>148</v>
      </c>
      <c r="AT233" s="235">
        <v>0.70499999999999996</v>
      </c>
      <c r="AU233" s="223">
        <v>146</v>
      </c>
      <c r="AV233" s="232">
        <v>0.69499999999999995</v>
      </c>
      <c r="AW233" s="223">
        <v>108</v>
      </c>
      <c r="AX233" s="223">
        <v>105</v>
      </c>
      <c r="AY233" s="235">
        <v>0.97199999999999998</v>
      </c>
      <c r="AZ233" s="223">
        <v>93</v>
      </c>
      <c r="BA233" s="235">
        <v>0.86099999999999999</v>
      </c>
      <c r="BB233" s="223">
        <v>93</v>
      </c>
      <c r="BC233" s="232">
        <v>0.86099999999999999</v>
      </c>
    </row>
    <row r="234" spans="1:55" x14ac:dyDescent="0.25">
      <c r="A234" s="226">
        <v>1</v>
      </c>
      <c r="B234" s="211" t="s">
        <v>117</v>
      </c>
      <c r="C234" s="211">
        <v>749</v>
      </c>
      <c r="D234" s="211" t="s">
        <v>410</v>
      </c>
      <c r="E234" s="211">
        <v>926</v>
      </c>
      <c r="F234" s="211">
        <v>967</v>
      </c>
      <c r="G234" s="211"/>
      <c r="H234" s="220" t="str">
        <f>HYPERLINK("https://map.geo.admin.ch/?zoom=7&amp;E=589300&amp;N=218400&amp;layers=ch.kantone.cadastralwebmap-farbe,ch.swisstopo.amtliches-strassenverzeichnis,ch.bfs.gebaeude_wohnungs_register,KML||https://tinyurl.com/yy7ya4g9/BE/0749_bdg_erw.kml","KML building")</f>
        <v>KML building</v>
      </c>
      <c r="I234" s="154">
        <v>2</v>
      </c>
      <c r="J234" s="243" t="s">
        <v>1195</v>
      </c>
      <c r="K234" s="153">
        <v>2.1598272138228943E-3</v>
      </c>
      <c r="L234" s="64">
        <v>0</v>
      </c>
      <c r="M234" s="64"/>
      <c r="N234" s="200">
        <v>0</v>
      </c>
      <c r="O234" s="155"/>
      <c r="P234" s="63"/>
      <c r="Q234" s="64">
        <v>0</v>
      </c>
      <c r="R234" s="64"/>
      <c r="S234" s="200">
        <v>0</v>
      </c>
      <c r="T234" s="155"/>
      <c r="U234" s="63"/>
      <c r="V234" s="64">
        <v>0</v>
      </c>
      <c r="W234" s="64"/>
      <c r="X234" s="200">
        <v>0</v>
      </c>
      <c r="Y234" s="155"/>
      <c r="Z234" s="63"/>
      <c r="AA234" s="64">
        <v>0</v>
      </c>
      <c r="AB234" s="64"/>
      <c r="AC234" s="200">
        <v>0</v>
      </c>
      <c r="AD234" s="156"/>
      <c r="AE234" s="153"/>
      <c r="AF234" s="140">
        <v>2</v>
      </c>
      <c r="AG234" s="140"/>
      <c r="AH234" s="200">
        <v>2.2000000000000001E-3</v>
      </c>
      <c r="AI234" s="140"/>
      <c r="AJ234" s="153"/>
      <c r="AK234" s="140">
        <v>0</v>
      </c>
      <c r="AL234" s="140"/>
      <c r="AM234" s="200">
        <v>0</v>
      </c>
      <c r="AN234" s="156"/>
      <c r="AO234" s="230">
        <v>2.2000000000000001E-3</v>
      </c>
      <c r="AP234" s="223">
        <v>294</v>
      </c>
      <c r="AQ234" s="223">
        <v>260</v>
      </c>
      <c r="AR234" s="235">
        <v>0.88400000000000001</v>
      </c>
      <c r="AS234" s="223">
        <v>251</v>
      </c>
      <c r="AT234" s="235">
        <v>0.85399999999999998</v>
      </c>
      <c r="AU234" s="223">
        <v>240</v>
      </c>
      <c r="AV234" s="232">
        <v>0.81599999999999995</v>
      </c>
      <c r="AW234" s="223">
        <v>185</v>
      </c>
      <c r="AX234" s="223">
        <v>183</v>
      </c>
      <c r="AY234" s="235">
        <v>0.98899999999999999</v>
      </c>
      <c r="AZ234" s="223">
        <v>174</v>
      </c>
      <c r="BA234" s="235">
        <v>0.94099999999999995</v>
      </c>
      <c r="BB234" s="223">
        <v>172</v>
      </c>
      <c r="BC234" s="232">
        <v>0.93</v>
      </c>
    </row>
    <row r="235" spans="1:55" x14ac:dyDescent="0.25">
      <c r="A235" s="226">
        <v>1</v>
      </c>
      <c r="B235" s="211" t="s">
        <v>117</v>
      </c>
      <c r="C235" s="211">
        <v>750</v>
      </c>
      <c r="D235" s="211" t="s">
        <v>411</v>
      </c>
      <c r="E235" s="211">
        <v>739</v>
      </c>
      <c r="F235" s="211">
        <v>753</v>
      </c>
      <c r="G235" s="211"/>
      <c r="H235" s="220" t="str">
        <f>HYPERLINK("https://map.geo.admin.ch/?zoom=7&amp;E=583300&amp;N=216800&amp;layers=ch.kantone.cadastralwebmap-farbe,ch.swisstopo.amtliches-strassenverzeichnis,ch.bfs.gebaeude_wohnungs_register,KML||https://tinyurl.com/yy7ya4g9/BE/0750_bdg_erw.kml","KML building")</f>
        <v>KML building</v>
      </c>
      <c r="I235" s="154">
        <v>0</v>
      </c>
      <c r="J235" s="243" t="s">
        <v>1196</v>
      </c>
      <c r="K235" s="153">
        <v>0</v>
      </c>
      <c r="L235" s="64">
        <v>0</v>
      </c>
      <c r="M235" s="64"/>
      <c r="N235" s="200">
        <v>0</v>
      </c>
      <c r="O235" s="155"/>
      <c r="P235" s="63"/>
      <c r="Q235" s="64">
        <v>0</v>
      </c>
      <c r="R235" s="64"/>
      <c r="S235" s="200">
        <v>0</v>
      </c>
      <c r="T235" s="155"/>
      <c r="U235" s="63"/>
      <c r="V235" s="64">
        <v>0</v>
      </c>
      <c r="W235" s="64"/>
      <c r="X235" s="200">
        <v>0</v>
      </c>
      <c r="Y235" s="155"/>
      <c r="Z235" s="63"/>
      <c r="AA235" s="64">
        <v>0</v>
      </c>
      <c r="AB235" s="64"/>
      <c r="AC235" s="200">
        <v>0</v>
      </c>
      <c r="AD235" s="156"/>
      <c r="AE235" s="153"/>
      <c r="AF235" s="140">
        <v>2</v>
      </c>
      <c r="AG235" s="140"/>
      <c r="AH235" s="200">
        <v>2.7000000000000001E-3</v>
      </c>
      <c r="AI235" s="140"/>
      <c r="AJ235" s="153"/>
      <c r="AK235" s="140">
        <v>1</v>
      </c>
      <c r="AL235" s="140"/>
      <c r="AM235" s="200">
        <v>1.4E-3</v>
      </c>
      <c r="AN235" s="156"/>
      <c r="AO235" s="230">
        <v>4.1000000000000003E-3</v>
      </c>
      <c r="AP235" s="223">
        <v>282</v>
      </c>
      <c r="AQ235" s="223">
        <v>233</v>
      </c>
      <c r="AR235" s="235">
        <v>0.82599999999999996</v>
      </c>
      <c r="AS235" s="223">
        <v>208</v>
      </c>
      <c r="AT235" s="235">
        <v>0.73799999999999999</v>
      </c>
      <c r="AU235" s="223">
        <v>201</v>
      </c>
      <c r="AV235" s="232">
        <v>0.71299999999999997</v>
      </c>
      <c r="AW235" s="223">
        <v>140</v>
      </c>
      <c r="AX235" s="223">
        <v>132</v>
      </c>
      <c r="AY235" s="235">
        <v>0.94299999999999995</v>
      </c>
      <c r="AZ235" s="223">
        <v>122</v>
      </c>
      <c r="BA235" s="235">
        <v>0.871</v>
      </c>
      <c r="BB235" s="223">
        <v>122</v>
      </c>
      <c r="BC235" s="232">
        <v>0.871</v>
      </c>
    </row>
    <row r="236" spans="1:55" x14ac:dyDescent="0.25">
      <c r="A236" s="226">
        <v>1</v>
      </c>
      <c r="B236" s="211" t="s">
        <v>117</v>
      </c>
      <c r="C236" s="211">
        <v>751</v>
      </c>
      <c r="D236" s="211" t="s">
        <v>412</v>
      </c>
      <c r="E236" s="211">
        <v>1314</v>
      </c>
      <c r="F236" s="211">
        <v>1336</v>
      </c>
      <c r="G236" s="211"/>
      <c r="H236" s="220" t="str">
        <f>HYPERLINK("https://map.geo.admin.ch/?zoom=7&amp;E=581900&amp;N=212900&amp;layers=ch.kantone.cadastralwebmap-farbe,ch.swisstopo.amtliches-strassenverzeichnis,ch.bfs.gebaeude_wohnungs_register,KML||https://tinyurl.com/yy7ya4g9/BE/0751_bdg_erw.kml","KML building")</f>
        <v>KML building</v>
      </c>
      <c r="I236" s="154">
        <v>0</v>
      </c>
      <c r="J236" s="243" t="s">
        <v>1197</v>
      </c>
      <c r="K236" s="153">
        <v>0</v>
      </c>
      <c r="L236" s="64">
        <v>0</v>
      </c>
      <c r="M236" s="64"/>
      <c r="N236" s="200">
        <v>0</v>
      </c>
      <c r="O236" s="155"/>
      <c r="P236" s="63"/>
      <c r="Q236" s="64">
        <v>0</v>
      </c>
      <c r="R236" s="64"/>
      <c r="S236" s="200">
        <v>0</v>
      </c>
      <c r="T236" s="155"/>
      <c r="U236" s="63"/>
      <c r="V236" s="64">
        <v>0</v>
      </c>
      <c r="W236" s="64"/>
      <c r="X236" s="200">
        <v>0</v>
      </c>
      <c r="Y236" s="155"/>
      <c r="Z236" s="63"/>
      <c r="AA236" s="64">
        <v>0</v>
      </c>
      <c r="AB236" s="64"/>
      <c r="AC236" s="200">
        <v>0</v>
      </c>
      <c r="AD236" s="156"/>
      <c r="AE236" s="153"/>
      <c r="AF236" s="140">
        <v>5</v>
      </c>
      <c r="AG236" s="140"/>
      <c r="AH236" s="200">
        <v>3.8E-3</v>
      </c>
      <c r="AI236" s="140"/>
      <c r="AJ236" s="153"/>
      <c r="AK236" s="140">
        <v>1</v>
      </c>
      <c r="AL236" s="140"/>
      <c r="AM236" s="200">
        <v>8.0000000000000004E-4</v>
      </c>
      <c r="AN236" s="156"/>
      <c r="AO236" s="230">
        <v>4.5999999999999999E-3</v>
      </c>
      <c r="AP236" s="223">
        <v>410</v>
      </c>
      <c r="AQ236" s="223">
        <v>342</v>
      </c>
      <c r="AR236" s="235">
        <v>0.83399999999999996</v>
      </c>
      <c r="AS236" s="223">
        <v>319</v>
      </c>
      <c r="AT236" s="235">
        <v>0.77800000000000002</v>
      </c>
      <c r="AU236" s="223">
        <v>308</v>
      </c>
      <c r="AV236" s="232">
        <v>0.751</v>
      </c>
      <c r="AW236" s="223">
        <v>206</v>
      </c>
      <c r="AX236" s="223">
        <v>194</v>
      </c>
      <c r="AY236" s="235">
        <v>0.94199999999999995</v>
      </c>
      <c r="AZ236" s="223">
        <v>177</v>
      </c>
      <c r="BA236" s="235">
        <v>0.85899999999999999</v>
      </c>
      <c r="BB236" s="223">
        <v>176</v>
      </c>
      <c r="BC236" s="232">
        <v>0.85399999999999998</v>
      </c>
    </row>
    <row r="237" spans="1:55" x14ac:dyDescent="0.25">
      <c r="A237" s="226">
        <v>1</v>
      </c>
      <c r="B237" s="211" t="s">
        <v>117</v>
      </c>
      <c r="C237" s="211">
        <v>754</v>
      </c>
      <c r="D237" s="211" t="s">
        <v>413</v>
      </c>
      <c r="E237" s="211">
        <v>661</v>
      </c>
      <c r="F237" s="211">
        <v>664</v>
      </c>
      <c r="G237" s="211"/>
      <c r="H237" s="220" t="str">
        <f>HYPERLINK("https://map.geo.admin.ch/?zoom=7&amp;E=584000&amp;N=212100&amp;layers=ch.kantone.cadastralwebmap-farbe,ch.swisstopo.amtliches-strassenverzeichnis,ch.bfs.gebaeude_wohnungs_register,KML||https://tinyurl.com/yy7ya4g9/BE/0754_bdg_erw.kml","KML building")</f>
        <v>KML building</v>
      </c>
      <c r="I237" s="154">
        <v>1</v>
      </c>
      <c r="J237" s="243" t="s">
        <v>1198</v>
      </c>
      <c r="K237" s="153">
        <v>1.5128593040847202E-3</v>
      </c>
      <c r="L237" s="64">
        <v>0</v>
      </c>
      <c r="M237" s="64"/>
      <c r="N237" s="200">
        <v>0</v>
      </c>
      <c r="O237" s="155"/>
      <c r="P237" s="63"/>
      <c r="Q237" s="64">
        <v>0</v>
      </c>
      <c r="R237" s="64"/>
      <c r="S237" s="200">
        <v>0</v>
      </c>
      <c r="T237" s="155"/>
      <c r="U237" s="63"/>
      <c r="V237" s="64">
        <v>0</v>
      </c>
      <c r="W237" s="64"/>
      <c r="X237" s="200">
        <v>0</v>
      </c>
      <c r="Y237" s="155"/>
      <c r="Z237" s="63"/>
      <c r="AA237" s="64">
        <v>0</v>
      </c>
      <c r="AB237" s="64"/>
      <c r="AC237" s="200">
        <v>0</v>
      </c>
      <c r="AD237" s="156"/>
      <c r="AE237" s="153"/>
      <c r="AF237" s="140">
        <v>3</v>
      </c>
      <c r="AG237" s="140"/>
      <c r="AH237" s="200">
        <v>4.4999999999999997E-3</v>
      </c>
      <c r="AI237" s="140"/>
      <c r="AJ237" s="153"/>
      <c r="AK237" s="140">
        <v>1</v>
      </c>
      <c r="AL237" s="140"/>
      <c r="AM237" s="200">
        <v>1.5E-3</v>
      </c>
      <c r="AN237" s="156"/>
      <c r="AO237" s="230">
        <v>6.0000000000000001E-3</v>
      </c>
      <c r="AP237" s="223">
        <v>311</v>
      </c>
      <c r="AQ237" s="223">
        <v>276</v>
      </c>
      <c r="AR237" s="235">
        <v>0.88700000000000001</v>
      </c>
      <c r="AS237" s="223">
        <v>241</v>
      </c>
      <c r="AT237" s="235">
        <v>0.77500000000000002</v>
      </c>
      <c r="AU237" s="223">
        <v>240</v>
      </c>
      <c r="AV237" s="232">
        <v>0.77200000000000002</v>
      </c>
      <c r="AW237" s="223">
        <v>163</v>
      </c>
      <c r="AX237" s="223">
        <v>157</v>
      </c>
      <c r="AY237" s="235">
        <v>0.96299999999999997</v>
      </c>
      <c r="AZ237" s="223">
        <v>153</v>
      </c>
      <c r="BA237" s="235">
        <v>0.93899999999999995</v>
      </c>
      <c r="BB237" s="223">
        <v>152</v>
      </c>
      <c r="BC237" s="232">
        <v>0.93300000000000005</v>
      </c>
    </row>
    <row r="238" spans="1:55" x14ac:dyDescent="0.25">
      <c r="A238" s="226">
        <v>1</v>
      </c>
      <c r="B238" s="211" t="s">
        <v>117</v>
      </c>
      <c r="C238" s="211">
        <v>755</v>
      </c>
      <c r="D238" s="211" t="s">
        <v>414</v>
      </c>
      <c r="E238" s="211">
        <v>894</v>
      </c>
      <c r="F238" s="211">
        <v>904</v>
      </c>
      <c r="G238" s="211"/>
      <c r="H238" s="220" t="str">
        <f>HYPERLINK("https://map.geo.admin.ch/?zoom=7&amp;E=588700&amp;N=216300&amp;layers=ch.kantone.cadastralwebmap-farbe,ch.swisstopo.amtliches-strassenverzeichnis,ch.bfs.gebaeude_wohnungs_register,KML||https://tinyurl.com/yy7ya4g9/BE/0755_bdg_erw.kml","KML building")</f>
        <v>KML building</v>
      </c>
      <c r="I238" s="154">
        <v>0</v>
      </c>
      <c r="J238" s="243" t="s">
        <v>1199</v>
      </c>
      <c r="K238" s="153">
        <v>0</v>
      </c>
      <c r="L238" s="64">
        <v>0</v>
      </c>
      <c r="M238" s="64"/>
      <c r="N238" s="200">
        <v>0</v>
      </c>
      <c r="O238" s="155"/>
      <c r="P238" s="63"/>
      <c r="Q238" s="64">
        <v>0</v>
      </c>
      <c r="R238" s="64"/>
      <c r="S238" s="200">
        <v>0</v>
      </c>
      <c r="T238" s="155"/>
      <c r="U238" s="63"/>
      <c r="V238" s="64">
        <v>0</v>
      </c>
      <c r="W238" s="64"/>
      <c r="X238" s="200">
        <v>0</v>
      </c>
      <c r="Y238" s="155"/>
      <c r="Z238" s="63"/>
      <c r="AA238" s="64">
        <v>2</v>
      </c>
      <c r="AB238" s="64"/>
      <c r="AC238" s="200">
        <v>2.2000000000000001E-3</v>
      </c>
      <c r="AD238" s="156"/>
      <c r="AE238" s="153"/>
      <c r="AF238" s="140">
        <v>2</v>
      </c>
      <c r="AG238" s="140"/>
      <c r="AH238" s="200">
        <v>2.2000000000000001E-3</v>
      </c>
      <c r="AI238" s="140"/>
      <c r="AJ238" s="153"/>
      <c r="AK238" s="140">
        <v>0</v>
      </c>
      <c r="AL238" s="140"/>
      <c r="AM238" s="200">
        <v>0</v>
      </c>
      <c r="AN238" s="156"/>
      <c r="AO238" s="230">
        <v>4.4000000000000003E-3</v>
      </c>
      <c r="AP238" s="223">
        <v>296</v>
      </c>
      <c r="AQ238" s="223">
        <v>268</v>
      </c>
      <c r="AR238" s="235">
        <v>0.90500000000000003</v>
      </c>
      <c r="AS238" s="223">
        <v>233</v>
      </c>
      <c r="AT238" s="235">
        <v>0.78700000000000003</v>
      </c>
      <c r="AU238" s="223">
        <v>226</v>
      </c>
      <c r="AV238" s="232">
        <v>0.76400000000000001</v>
      </c>
      <c r="AW238" s="223">
        <v>158</v>
      </c>
      <c r="AX238" s="223">
        <v>150</v>
      </c>
      <c r="AY238" s="235">
        <v>0.94899999999999995</v>
      </c>
      <c r="AZ238" s="223">
        <v>131</v>
      </c>
      <c r="BA238" s="235">
        <v>0.82899999999999996</v>
      </c>
      <c r="BB238" s="223">
        <v>131</v>
      </c>
      <c r="BC238" s="232">
        <v>0.82899999999999996</v>
      </c>
    </row>
    <row r="239" spans="1:55" x14ac:dyDescent="0.25">
      <c r="A239" s="226">
        <v>1</v>
      </c>
      <c r="B239" s="211" t="s">
        <v>117</v>
      </c>
      <c r="C239" s="211">
        <v>756</v>
      </c>
      <c r="D239" s="211" t="s">
        <v>415</v>
      </c>
      <c r="E239" s="211">
        <v>948</v>
      </c>
      <c r="F239" s="211">
        <v>1000</v>
      </c>
      <c r="G239" s="211"/>
      <c r="H239" s="220" t="str">
        <f>HYPERLINK("https://map.geo.admin.ch/?zoom=7&amp;E=578600&amp;N=215900&amp;layers=ch.kantone.cadastralwebmap-farbe,ch.swisstopo.amtliches-strassenverzeichnis,ch.bfs.gebaeude_wohnungs_register,KML||https://tinyurl.com/yy7ya4g9/BE/0756_bdg_erw.kml","KML building")</f>
        <v>KML building</v>
      </c>
      <c r="I239" s="154">
        <v>0</v>
      </c>
      <c r="J239" s="243" t="s">
        <v>1200</v>
      </c>
      <c r="K239" s="153">
        <v>0</v>
      </c>
      <c r="L239" s="64">
        <v>0</v>
      </c>
      <c r="M239" s="64"/>
      <c r="N239" s="200">
        <v>0</v>
      </c>
      <c r="O239" s="155"/>
      <c r="P239" s="63"/>
      <c r="Q239" s="64">
        <v>0</v>
      </c>
      <c r="R239" s="64"/>
      <c r="S239" s="200">
        <v>0</v>
      </c>
      <c r="T239" s="155"/>
      <c r="U239" s="63"/>
      <c r="V239" s="64">
        <v>0</v>
      </c>
      <c r="W239" s="64"/>
      <c r="X239" s="200">
        <v>0</v>
      </c>
      <c r="Y239" s="155"/>
      <c r="Z239" s="63"/>
      <c r="AA239" s="64">
        <v>0</v>
      </c>
      <c r="AB239" s="64"/>
      <c r="AC239" s="200">
        <v>0</v>
      </c>
      <c r="AD239" s="156"/>
      <c r="AE239" s="153"/>
      <c r="AF239" s="140">
        <v>0</v>
      </c>
      <c r="AG239" s="140"/>
      <c r="AH239" s="200">
        <v>0</v>
      </c>
      <c r="AI239" s="140"/>
      <c r="AJ239" s="153"/>
      <c r="AK239" s="140">
        <v>1</v>
      </c>
      <c r="AL239" s="140"/>
      <c r="AM239" s="200">
        <v>1.1000000000000001E-3</v>
      </c>
      <c r="AN239" s="156"/>
      <c r="AO239" s="230">
        <v>1.1000000000000001E-3</v>
      </c>
      <c r="AP239" s="223">
        <v>334</v>
      </c>
      <c r="AQ239" s="223">
        <v>262</v>
      </c>
      <c r="AR239" s="235">
        <v>0.78400000000000003</v>
      </c>
      <c r="AS239" s="223">
        <v>261</v>
      </c>
      <c r="AT239" s="235">
        <v>0.78100000000000003</v>
      </c>
      <c r="AU239" s="223">
        <v>225</v>
      </c>
      <c r="AV239" s="232">
        <v>0.67400000000000004</v>
      </c>
      <c r="AW239" s="223">
        <v>141</v>
      </c>
      <c r="AX239" s="223">
        <v>132</v>
      </c>
      <c r="AY239" s="235">
        <v>0.93600000000000005</v>
      </c>
      <c r="AZ239" s="223">
        <v>122</v>
      </c>
      <c r="BA239" s="235">
        <v>0.86499999999999999</v>
      </c>
      <c r="BB239" s="223">
        <v>119</v>
      </c>
      <c r="BC239" s="232">
        <v>0.84399999999999997</v>
      </c>
    </row>
    <row r="240" spans="1:55" x14ac:dyDescent="0.25">
      <c r="A240" s="226">
        <v>1</v>
      </c>
      <c r="B240" s="211" t="s">
        <v>117</v>
      </c>
      <c r="C240" s="211">
        <v>761</v>
      </c>
      <c r="D240" s="211" t="s">
        <v>416</v>
      </c>
      <c r="E240" s="211">
        <v>1000</v>
      </c>
      <c r="F240" s="211">
        <v>1000</v>
      </c>
      <c r="G240" s="211"/>
      <c r="H240" s="220" t="str">
        <f>HYPERLINK("https://map.geo.admin.ch/?zoom=7&amp;E=604100&amp;N=167600&amp;layers=ch.kantone.cadastralwebmap-farbe,ch.swisstopo.amtliches-strassenverzeichnis,ch.bfs.gebaeude_wohnungs_register,KML||https://tinyurl.com/yy7ya4g9/BE/0761_bdg_erw.kml","KML building")</f>
        <v>KML building</v>
      </c>
      <c r="I240" s="154">
        <v>0</v>
      </c>
      <c r="J240" s="243" t="s">
        <v>1201</v>
      </c>
      <c r="K240" s="153">
        <v>0</v>
      </c>
      <c r="L240" s="64">
        <v>0</v>
      </c>
      <c r="M240" s="64"/>
      <c r="N240" s="200">
        <v>0</v>
      </c>
      <c r="O240" s="155"/>
      <c r="P240" s="63"/>
      <c r="Q240" s="64">
        <v>0</v>
      </c>
      <c r="R240" s="64"/>
      <c r="S240" s="200">
        <v>0</v>
      </c>
      <c r="T240" s="155"/>
      <c r="U240" s="63"/>
      <c r="V240" s="64">
        <v>0</v>
      </c>
      <c r="W240" s="64"/>
      <c r="X240" s="200">
        <v>0</v>
      </c>
      <c r="Y240" s="155"/>
      <c r="Z240" s="63"/>
      <c r="AA240" s="64">
        <v>0</v>
      </c>
      <c r="AB240" s="64"/>
      <c r="AC240" s="200">
        <v>0</v>
      </c>
      <c r="AD240" s="156"/>
      <c r="AE240" s="153"/>
      <c r="AF240" s="140">
        <v>2</v>
      </c>
      <c r="AG240" s="140"/>
      <c r="AH240" s="200">
        <v>2E-3</v>
      </c>
      <c r="AI240" s="140"/>
      <c r="AJ240" s="153"/>
      <c r="AK240" s="140">
        <v>0</v>
      </c>
      <c r="AL240" s="140"/>
      <c r="AM240" s="200">
        <v>0</v>
      </c>
      <c r="AN240" s="156"/>
      <c r="AO240" s="230">
        <v>2E-3</v>
      </c>
      <c r="AP240" s="223">
        <v>652</v>
      </c>
      <c r="AQ240" s="223">
        <v>525</v>
      </c>
      <c r="AR240" s="235">
        <v>0.80500000000000005</v>
      </c>
      <c r="AS240" s="223">
        <v>528</v>
      </c>
      <c r="AT240" s="235">
        <v>0.81</v>
      </c>
      <c r="AU240" s="223">
        <v>494</v>
      </c>
      <c r="AV240" s="232">
        <v>0.75800000000000001</v>
      </c>
      <c r="AW240" s="223">
        <v>476</v>
      </c>
      <c r="AX240" s="223">
        <v>436</v>
      </c>
      <c r="AY240" s="235">
        <v>0.91600000000000004</v>
      </c>
      <c r="AZ240" s="223">
        <v>427</v>
      </c>
      <c r="BA240" s="235">
        <v>0.89700000000000002</v>
      </c>
      <c r="BB240" s="223">
        <v>411</v>
      </c>
      <c r="BC240" s="232">
        <v>0.86299999999999999</v>
      </c>
    </row>
    <row r="241" spans="1:55" x14ac:dyDescent="0.25">
      <c r="A241" s="226">
        <v>1</v>
      </c>
      <c r="B241" s="211" t="s">
        <v>117</v>
      </c>
      <c r="C241" s="211">
        <v>762</v>
      </c>
      <c r="D241" s="211" t="s">
        <v>417</v>
      </c>
      <c r="E241" s="211">
        <v>2664</v>
      </c>
      <c r="F241" s="211">
        <v>2672</v>
      </c>
      <c r="G241" s="211"/>
      <c r="H241" s="220" t="str">
        <f>HYPERLINK("https://map.geo.admin.ch/?zoom=7&amp;E=609700&amp;N=166400&amp;layers=ch.kantone.cadastralwebmap-farbe,ch.swisstopo.amtliches-strassenverzeichnis,ch.bfs.gebaeude_wohnungs_register,KML||https://tinyurl.com/yy7ya4g9/BE/0762_bdg_erw.kml","KML building")</f>
        <v>KML building</v>
      </c>
      <c r="I241" s="154">
        <v>109</v>
      </c>
      <c r="J241" s="243" t="s">
        <v>1202</v>
      </c>
      <c r="K241" s="153">
        <v>4.0915915915915917E-2</v>
      </c>
      <c r="L241" s="64">
        <v>0</v>
      </c>
      <c r="M241" s="64"/>
      <c r="N241" s="200">
        <v>0</v>
      </c>
      <c r="O241" s="155"/>
      <c r="P241" s="63"/>
      <c r="Q241" s="64">
        <v>0</v>
      </c>
      <c r="R241" s="64"/>
      <c r="S241" s="200">
        <v>0</v>
      </c>
      <c r="T241" s="155"/>
      <c r="U241" s="63"/>
      <c r="V241" s="64">
        <v>0</v>
      </c>
      <c r="W241" s="64"/>
      <c r="X241" s="200">
        <v>0</v>
      </c>
      <c r="Y241" s="155"/>
      <c r="Z241" s="63"/>
      <c r="AA241" s="64">
        <v>4</v>
      </c>
      <c r="AB241" s="64"/>
      <c r="AC241" s="200">
        <v>1.5E-3</v>
      </c>
      <c r="AD241" s="156"/>
      <c r="AE241" s="153"/>
      <c r="AF241" s="140">
        <v>21</v>
      </c>
      <c r="AG241" s="140"/>
      <c r="AH241" s="200">
        <v>7.9000000000000008E-3</v>
      </c>
      <c r="AI241" s="140"/>
      <c r="AJ241" s="153"/>
      <c r="AK241" s="140">
        <v>0</v>
      </c>
      <c r="AL241" s="140"/>
      <c r="AM241" s="200">
        <v>0</v>
      </c>
      <c r="AN241" s="156"/>
      <c r="AO241" s="230">
        <v>9.4000000000000004E-3</v>
      </c>
      <c r="AP241" s="223">
        <v>1446</v>
      </c>
      <c r="AQ241" s="223">
        <v>1321</v>
      </c>
      <c r="AR241" s="235">
        <v>0.91400000000000003</v>
      </c>
      <c r="AS241" s="223">
        <v>1074</v>
      </c>
      <c r="AT241" s="235">
        <v>0.74299999999999999</v>
      </c>
      <c r="AU241" s="223">
        <v>1040</v>
      </c>
      <c r="AV241" s="232">
        <v>0.71899999999999997</v>
      </c>
      <c r="AW241" s="223">
        <v>1051</v>
      </c>
      <c r="AX241" s="223">
        <v>1018</v>
      </c>
      <c r="AY241" s="235">
        <v>0.96899999999999997</v>
      </c>
      <c r="AZ241" s="223">
        <v>889</v>
      </c>
      <c r="BA241" s="235">
        <v>0.84599999999999997</v>
      </c>
      <c r="BB241" s="223">
        <v>858</v>
      </c>
      <c r="BC241" s="232">
        <v>0.81599999999999995</v>
      </c>
    </row>
    <row r="242" spans="1:55" x14ac:dyDescent="0.25">
      <c r="A242" s="226">
        <v>1</v>
      </c>
      <c r="B242" s="211" t="s">
        <v>117</v>
      </c>
      <c r="C242" s="211">
        <v>763</v>
      </c>
      <c r="D242" s="211" t="s">
        <v>418</v>
      </c>
      <c r="E242" s="211">
        <v>1604</v>
      </c>
      <c r="F242" s="211">
        <v>1610</v>
      </c>
      <c r="G242" s="211"/>
      <c r="H242" s="220" t="str">
        <f>HYPERLINK("https://map.geo.admin.ch/?zoom=7&amp;E=608700&amp;N=167800&amp;layers=ch.kantone.cadastralwebmap-farbe,ch.swisstopo.amtliches-strassenverzeichnis,ch.bfs.gebaeude_wohnungs_register,KML||https://tinyurl.com/yy7ya4g9/BE/0763_bdg_erw.kml","KML building")</f>
        <v>KML building</v>
      </c>
      <c r="I242" s="154">
        <v>0</v>
      </c>
      <c r="J242" s="243" t="s">
        <v>1203</v>
      </c>
      <c r="K242" s="153">
        <v>0</v>
      </c>
      <c r="L242" s="64">
        <v>0</v>
      </c>
      <c r="M242" s="64"/>
      <c r="N242" s="200">
        <v>0</v>
      </c>
      <c r="O242" s="155"/>
      <c r="P242" s="63"/>
      <c r="Q242" s="64">
        <v>0</v>
      </c>
      <c r="R242" s="64"/>
      <c r="S242" s="200">
        <v>0</v>
      </c>
      <c r="T242" s="155"/>
      <c r="U242" s="63"/>
      <c r="V242" s="64">
        <v>0</v>
      </c>
      <c r="W242" s="64"/>
      <c r="X242" s="200">
        <v>0</v>
      </c>
      <c r="Y242" s="155"/>
      <c r="Z242" s="63"/>
      <c r="AA242" s="64">
        <v>0</v>
      </c>
      <c r="AB242" s="64"/>
      <c r="AC242" s="200">
        <v>0</v>
      </c>
      <c r="AD242" s="156"/>
      <c r="AE242" s="153"/>
      <c r="AF242" s="140">
        <v>2</v>
      </c>
      <c r="AG242" s="140"/>
      <c r="AH242" s="200">
        <v>1.1999999999999999E-3</v>
      </c>
      <c r="AI242" s="140"/>
      <c r="AJ242" s="153"/>
      <c r="AK242" s="140">
        <v>0</v>
      </c>
      <c r="AL242" s="140"/>
      <c r="AM242" s="200">
        <v>0</v>
      </c>
      <c r="AN242" s="156"/>
      <c r="AO242" s="230">
        <v>1.1999999999999999E-3</v>
      </c>
      <c r="AP242" s="223">
        <v>879</v>
      </c>
      <c r="AQ242" s="223">
        <v>717</v>
      </c>
      <c r="AR242" s="235">
        <v>0.81599999999999995</v>
      </c>
      <c r="AS242" s="223">
        <v>721</v>
      </c>
      <c r="AT242" s="235">
        <v>0.82</v>
      </c>
      <c r="AU242" s="223">
        <v>685</v>
      </c>
      <c r="AV242" s="232">
        <v>0.77900000000000003</v>
      </c>
      <c r="AW242" s="223">
        <v>636</v>
      </c>
      <c r="AX242" s="223">
        <v>592</v>
      </c>
      <c r="AY242" s="235">
        <v>0.93100000000000005</v>
      </c>
      <c r="AZ242" s="223">
        <v>580</v>
      </c>
      <c r="BA242" s="235">
        <v>0.91200000000000003</v>
      </c>
      <c r="BB242" s="223">
        <v>568</v>
      </c>
      <c r="BC242" s="232">
        <v>0.89300000000000002</v>
      </c>
    </row>
    <row r="243" spans="1:55" x14ac:dyDescent="0.25">
      <c r="A243" s="226">
        <v>1</v>
      </c>
      <c r="B243" s="211" t="s">
        <v>117</v>
      </c>
      <c r="C243" s="211">
        <v>766</v>
      </c>
      <c r="D243" s="211" t="s">
        <v>419</v>
      </c>
      <c r="E243" s="211">
        <v>1261</v>
      </c>
      <c r="F243" s="211">
        <v>1266</v>
      </c>
      <c r="G243" s="211"/>
      <c r="H243" s="220" t="str">
        <f>HYPERLINK("https://map.geo.admin.ch/?zoom=7&amp;E=599600&amp;N=167300&amp;layers=ch.kantone.cadastralwebmap-farbe,ch.swisstopo.amtliches-strassenverzeichnis,ch.bfs.gebaeude_wohnungs_register,KML||https://tinyurl.com/yy7ya4g9/BE/0766_bdg_erw.kml","KML building")</f>
        <v>KML building</v>
      </c>
      <c r="I243" s="154">
        <v>0</v>
      </c>
      <c r="J243" s="243" t="s">
        <v>1204</v>
      </c>
      <c r="K243" s="153">
        <v>0</v>
      </c>
      <c r="L243" s="64">
        <v>0</v>
      </c>
      <c r="M243" s="64"/>
      <c r="N243" s="200">
        <v>0</v>
      </c>
      <c r="O243" s="155"/>
      <c r="P243" s="63"/>
      <c r="Q243" s="64">
        <v>0</v>
      </c>
      <c r="R243" s="64"/>
      <c r="S243" s="200">
        <v>0</v>
      </c>
      <c r="T243" s="155"/>
      <c r="U243" s="63"/>
      <c r="V243" s="64">
        <v>0</v>
      </c>
      <c r="W243" s="64"/>
      <c r="X243" s="200">
        <v>0</v>
      </c>
      <c r="Y243" s="155"/>
      <c r="Z243" s="63"/>
      <c r="AA243" s="64">
        <v>0</v>
      </c>
      <c r="AB243" s="64"/>
      <c r="AC243" s="200">
        <v>0</v>
      </c>
      <c r="AD243" s="156"/>
      <c r="AE243" s="153"/>
      <c r="AF243" s="140">
        <v>1</v>
      </c>
      <c r="AG243" s="140"/>
      <c r="AH243" s="200">
        <v>8.0000000000000004E-4</v>
      </c>
      <c r="AI243" s="140"/>
      <c r="AJ243" s="153"/>
      <c r="AK243" s="140">
        <v>1</v>
      </c>
      <c r="AL243" s="140"/>
      <c r="AM243" s="200">
        <v>8.0000000000000004E-4</v>
      </c>
      <c r="AN243" s="156"/>
      <c r="AO243" s="230">
        <v>1.6000000000000001E-3</v>
      </c>
      <c r="AP243" s="223">
        <v>885</v>
      </c>
      <c r="AQ243" s="223">
        <v>744</v>
      </c>
      <c r="AR243" s="235">
        <v>0.84099999999999997</v>
      </c>
      <c r="AS243" s="223">
        <v>761</v>
      </c>
      <c r="AT243" s="235">
        <v>0.86</v>
      </c>
      <c r="AU243" s="223">
        <v>730</v>
      </c>
      <c r="AV243" s="232">
        <v>0.82499999999999996</v>
      </c>
      <c r="AW243" s="223">
        <v>723</v>
      </c>
      <c r="AX243" s="223">
        <v>674</v>
      </c>
      <c r="AY243" s="235">
        <v>0.93200000000000005</v>
      </c>
      <c r="AZ243" s="223">
        <v>685</v>
      </c>
      <c r="BA243" s="235">
        <v>0.94699999999999995</v>
      </c>
      <c r="BB243" s="223">
        <v>666</v>
      </c>
      <c r="BC243" s="232">
        <v>0.92100000000000004</v>
      </c>
    </row>
    <row r="244" spans="1:55" x14ac:dyDescent="0.25">
      <c r="A244" s="226">
        <v>1</v>
      </c>
      <c r="B244" s="211" t="s">
        <v>117</v>
      </c>
      <c r="C244" s="211">
        <v>767</v>
      </c>
      <c r="D244" s="211" t="s">
        <v>420</v>
      </c>
      <c r="E244" s="211">
        <v>902</v>
      </c>
      <c r="F244" s="211">
        <v>910</v>
      </c>
      <c r="G244" s="211"/>
      <c r="H244" s="220" t="str">
        <f>HYPERLINK("https://map.geo.admin.ch/?zoom=7&amp;E=&amp;N=&amp;layers=ch.kantone.cadastralwebmap-farbe,ch.swisstopo.amtliches-strassenverzeichnis,ch.bfs.gebaeude_wohnungs_register,KML||https://tinyurl.com/yy7ya4g9/BE/0767_bdg_erw.kml","KML building")</f>
        <v>KML building</v>
      </c>
      <c r="I244" s="154">
        <v>0</v>
      </c>
      <c r="J244" s="243" t="s">
        <v>1205</v>
      </c>
      <c r="K244" s="153">
        <v>0</v>
      </c>
      <c r="L244" s="64">
        <v>0</v>
      </c>
      <c r="M244" s="64"/>
      <c r="N244" s="200">
        <v>0</v>
      </c>
      <c r="O244" s="155"/>
      <c r="P244" s="63"/>
      <c r="Q244" s="64">
        <v>0</v>
      </c>
      <c r="R244" s="64"/>
      <c r="S244" s="200">
        <v>0</v>
      </c>
      <c r="T244" s="155"/>
      <c r="U244" s="63"/>
      <c r="V244" s="64">
        <v>0</v>
      </c>
      <c r="W244" s="64"/>
      <c r="X244" s="200">
        <v>0</v>
      </c>
      <c r="Y244" s="155"/>
      <c r="Z244" s="63"/>
      <c r="AA244" s="64">
        <v>0</v>
      </c>
      <c r="AB244" s="64"/>
      <c r="AC244" s="200">
        <v>0</v>
      </c>
      <c r="AD244" s="156"/>
      <c r="AE244" s="153"/>
      <c r="AF244" s="140">
        <v>0</v>
      </c>
      <c r="AG244" s="140"/>
      <c r="AH244" s="200">
        <v>0</v>
      </c>
      <c r="AI244" s="140"/>
      <c r="AJ244" s="153"/>
      <c r="AK244" s="140">
        <v>0</v>
      </c>
      <c r="AL244" s="140"/>
      <c r="AM244" s="200">
        <v>0</v>
      </c>
      <c r="AN244" s="156"/>
      <c r="AO244" s="230">
        <v>0</v>
      </c>
      <c r="AP244" s="223">
        <v>437</v>
      </c>
      <c r="AQ244" s="223">
        <v>354</v>
      </c>
      <c r="AR244" s="235">
        <v>0.81</v>
      </c>
      <c r="AS244" s="223">
        <v>353</v>
      </c>
      <c r="AT244" s="235">
        <v>0.80800000000000005</v>
      </c>
      <c r="AU244" s="223">
        <v>327</v>
      </c>
      <c r="AV244" s="232">
        <v>0.748</v>
      </c>
      <c r="AW244" s="223">
        <v>299</v>
      </c>
      <c r="AX244" s="223">
        <v>267</v>
      </c>
      <c r="AY244" s="235">
        <v>0.89300000000000002</v>
      </c>
      <c r="AZ244" s="223">
        <v>266</v>
      </c>
      <c r="BA244" s="235">
        <v>0.89</v>
      </c>
      <c r="BB244" s="223">
        <v>250</v>
      </c>
      <c r="BC244" s="232">
        <v>0.83599999999999997</v>
      </c>
    </row>
    <row r="245" spans="1:55" x14ac:dyDescent="0.25">
      <c r="A245" s="226">
        <v>1</v>
      </c>
      <c r="B245" s="211" t="s">
        <v>117</v>
      </c>
      <c r="C245" s="211">
        <v>768</v>
      </c>
      <c r="D245" s="211" t="s">
        <v>421</v>
      </c>
      <c r="E245" s="211">
        <v>5830</v>
      </c>
      <c r="F245" s="211">
        <v>5891</v>
      </c>
      <c r="G245" s="211"/>
      <c r="H245" s="220" t="str">
        <f>HYPERLINK("https://map.geo.admin.ch/?zoom=7&amp;E=618600&amp;N=170600&amp;layers=ch.kantone.cadastralwebmap-farbe,ch.swisstopo.amtliches-strassenverzeichnis,ch.bfs.gebaeude_wohnungs_register,KML||https://tinyurl.com/yy7ya4g9/BE/0768_bdg_erw.kml","KML building")</f>
        <v>KML building</v>
      </c>
      <c r="I245" s="154">
        <v>4</v>
      </c>
      <c r="J245" s="243" t="s">
        <v>1206</v>
      </c>
      <c r="K245" s="153">
        <v>6.8610634648370492E-4</v>
      </c>
      <c r="L245" s="64">
        <v>0</v>
      </c>
      <c r="M245" s="64"/>
      <c r="N245" s="200">
        <v>0</v>
      </c>
      <c r="O245" s="155"/>
      <c r="P245" s="63"/>
      <c r="Q245" s="64">
        <v>0</v>
      </c>
      <c r="R245" s="64"/>
      <c r="S245" s="200">
        <v>0</v>
      </c>
      <c r="T245" s="155"/>
      <c r="U245" s="63"/>
      <c r="V245" s="64">
        <v>0</v>
      </c>
      <c r="W245" s="64"/>
      <c r="X245" s="200">
        <v>0</v>
      </c>
      <c r="Y245" s="155"/>
      <c r="Z245" s="63"/>
      <c r="AA245" s="64">
        <v>0</v>
      </c>
      <c r="AB245" s="64"/>
      <c r="AC245" s="200">
        <v>0</v>
      </c>
      <c r="AD245" s="156"/>
      <c r="AE245" s="153"/>
      <c r="AF245" s="140">
        <v>7</v>
      </c>
      <c r="AG245" s="140"/>
      <c r="AH245" s="200">
        <v>1.1999999999999999E-3</v>
      </c>
      <c r="AI245" s="140"/>
      <c r="AJ245" s="153"/>
      <c r="AK245" s="140">
        <v>0</v>
      </c>
      <c r="AL245" s="140"/>
      <c r="AM245" s="200">
        <v>0</v>
      </c>
      <c r="AN245" s="156"/>
      <c r="AO245" s="230">
        <v>1.1999999999999999E-3</v>
      </c>
      <c r="AP245" s="223">
        <v>1746</v>
      </c>
      <c r="AQ245" s="223">
        <v>1375</v>
      </c>
      <c r="AR245" s="235">
        <v>0.78800000000000003</v>
      </c>
      <c r="AS245" s="223">
        <v>1278</v>
      </c>
      <c r="AT245" s="235">
        <v>0.73199999999999998</v>
      </c>
      <c r="AU245" s="223">
        <v>1185</v>
      </c>
      <c r="AV245" s="232">
        <v>0.67900000000000005</v>
      </c>
      <c r="AW245" s="223">
        <v>995</v>
      </c>
      <c r="AX245" s="223">
        <v>919</v>
      </c>
      <c r="AY245" s="235">
        <v>0.92400000000000004</v>
      </c>
      <c r="AZ245" s="223">
        <v>828</v>
      </c>
      <c r="BA245" s="235">
        <v>0.83199999999999996</v>
      </c>
      <c r="BB245" s="223">
        <v>802</v>
      </c>
      <c r="BC245" s="232">
        <v>0.80600000000000005</v>
      </c>
    </row>
    <row r="246" spans="1:55" x14ac:dyDescent="0.25">
      <c r="A246" s="226">
        <v>1</v>
      </c>
      <c r="B246" s="211" t="s">
        <v>117</v>
      </c>
      <c r="C246" s="211">
        <v>769</v>
      </c>
      <c r="D246" s="211" t="s">
        <v>422</v>
      </c>
      <c r="E246" s="211">
        <v>1718</v>
      </c>
      <c r="F246" s="211">
        <v>1729</v>
      </c>
      <c r="G246" s="211"/>
      <c r="H246" s="220" t="str">
        <f>HYPERLINK("https://map.geo.admin.ch/?zoom=7&amp;E=615500&amp;N=169500&amp;layers=ch.kantone.cadastralwebmap-farbe,ch.swisstopo.amtliches-strassenverzeichnis,ch.bfs.gebaeude_wohnungs_register,KML||https://tinyurl.com/yy7ya4g9/BE/0769_bdg_erw.kml","KML building")</f>
        <v>KML building</v>
      </c>
      <c r="I246" s="154">
        <v>0</v>
      </c>
      <c r="J246" s="243" t="s">
        <v>1207</v>
      </c>
      <c r="K246" s="153">
        <v>0</v>
      </c>
      <c r="L246" s="64">
        <v>0</v>
      </c>
      <c r="M246" s="64"/>
      <c r="N246" s="200">
        <v>0</v>
      </c>
      <c r="O246" s="155"/>
      <c r="P246" s="63"/>
      <c r="Q246" s="64">
        <v>0</v>
      </c>
      <c r="R246" s="64"/>
      <c r="S246" s="200">
        <v>0</v>
      </c>
      <c r="T246" s="155"/>
      <c r="U246" s="63"/>
      <c r="V246" s="64">
        <v>0</v>
      </c>
      <c r="W246" s="64"/>
      <c r="X246" s="200">
        <v>0</v>
      </c>
      <c r="Y246" s="155"/>
      <c r="Z246" s="63"/>
      <c r="AA246" s="64">
        <v>0</v>
      </c>
      <c r="AB246" s="64"/>
      <c r="AC246" s="200">
        <v>0</v>
      </c>
      <c r="AD246" s="156"/>
      <c r="AE246" s="153"/>
      <c r="AF246" s="140">
        <v>1</v>
      </c>
      <c r="AG246" s="140"/>
      <c r="AH246" s="200">
        <v>5.9999999999999995E-4</v>
      </c>
      <c r="AI246" s="140"/>
      <c r="AJ246" s="153"/>
      <c r="AK246" s="140">
        <v>0</v>
      </c>
      <c r="AL246" s="140"/>
      <c r="AM246" s="200">
        <v>0</v>
      </c>
      <c r="AN246" s="156"/>
      <c r="AO246" s="230">
        <v>5.9999999999999995E-4</v>
      </c>
      <c r="AP246" s="223">
        <v>907</v>
      </c>
      <c r="AQ246" s="223">
        <v>753</v>
      </c>
      <c r="AR246" s="235">
        <v>0.83</v>
      </c>
      <c r="AS246" s="223">
        <v>709</v>
      </c>
      <c r="AT246" s="235">
        <v>0.78200000000000003</v>
      </c>
      <c r="AU246" s="223">
        <v>685</v>
      </c>
      <c r="AV246" s="232">
        <v>0.755</v>
      </c>
      <c r="AW246" s="223">
        <v>585</v>
      </c>
      <c r="AX246" s="223">
        <v>553</v>
      </c>
      <c r="AY246" s="235">
        <v>0.94499999999999995</v>
      </c>
      <c r="AZ246" s="223">
        <v>522</v>
      </c>
      <c r="BA246" s="235">
        <v>0.89200000000000002</v>
      </c>
      <c r="BB246" s="223">
        <v>512</v>
      </c>
      <c r="BC246" s="232">
        <v>0.875</v>
      </c>
    </row>
    <row r="247" spans="1:55" x14ac:dyDescent="0.25">
      <c r="A247" s="226">
        <v>1</v>
      </c>
      <c r="B247" s="211" t="s">
        <v>117</v>
      </c>
      <c r="C247" s="211">
        <v>770</v>
      </c>
      <c r="D247" s="211" t="s">
        <v>423</v>
      </c>
      <c r="E247" s="211">
        <v>721</v>
      </c>
      <c r="F247" s="211">
        <v>725</v>
      </c>
      <c r="G247" s="211"/>
      <c r="H247" s="220" t="str">
        <f>HYPERLINK("https://map.geo.admin.ch/?zoom=7&amp;E=608900&amp;N=174000&amp;layers=ch.kantone.cadastralwebmap-farbe,ch.swisstopo.amtliches-strassenverzeichnis,ch.bfs.gebaeude_wohnungs_register,KML||https://tinyurl.com/yy7ya4g9/BE/0770_bdg_erw.kml","KML building")</f>
        <v>KML building</v>
      </c>
      <c r="I247" s="154">
        <v>0</v>
      </c>
      <c r="J247" s="243" t="s">
        <v>1208</v>
      </c>
      <c r="K247" s="153">
        <v>0</v>
      </c>
      <c r="L247" s="64">
        <v>0</v>
      </c>
      <c r="M247" s="64"/>
      <c r="N247" s="200">
        <v>0</v>
      </c>
      <c r="O247" s="155"/>
      <c r="P247" s="63"/>
      <c r="Q247" s="64">
        <v>0</v>
      </c>
      <c r="R247" s="64"/>
      <c r="S247" s="200">
        <v>0</v>
      </c>
      <c r="T247" s="155"/>
      <c r="U247" s="63"/>
      <c r="V247" s="64">
        <v>0</v>
      </c>
      <c r="W247" s="64"/>
      <c r="X247" s="200">
        <v>0</v>
      </c>
      <c r="Y247" s="155"/>
      <c r="Z247" s="63"/>
      <c r="AA247" s="64">
        <v>0</v>
      </c>
      <c r="AB247" s="64"/>
      <c r="AC247" s="200">
        <v>0</v>
      </c>
      <c r="AD247" s="156"/>
      <c r="AE247" s="153"/>
      <c r="AF247" s="140">
        <v>1</v>
      </c>
      <c r="AG247" s="140"/>
      <c r="AH247" s="200">
        <v>1.4E-3</v>
      </c>
      <c r="AI247" s="140"/>
      <c r="AJ247" s="153"/>
      <c r="AK247" s="140">
        <v>1</v>
      </c>
      <c r="AL247" s="140"/>
      <c r="AM247" s="200">
        <v>1.4E-3</v>
      </c>
      <c r="AN247" s="156"/>
      <c r="AO247" s="230">
        <v>2.8E-3</v>
      </c>
      <c r="AP247" s="223">
        <v>323</v>
      </c>
      <c r="AQ247" s="223">
        <v>287</v>
      </c>
      <c r="AR247" s="235">
        <v>0.88900000000000001</v>
      </c>
      <c r="AS247" s="223">
        <v>243</v>
      </c>
      <c r="AT247" s="235">
        <v>0.752</v>
      </c>
      <c r="AU247" s="223">
        <v>237</v>
      </c>
      <c r="AV247" s="232">
        <v>0.73399999999999999</v>
      </c>
      <c r="AW247" s="223">
        <v>206</v>
      </c>
      <c r="AX247" s="223">
        <v>191</v>
      </c>
      <c r="AY247" s="235">
        <v>0.92700000000000005</v>
      </c>
      <c r="AZ247" s="223">
        <v>176</v>
      </c>
      <c r="BA247" s="235">
        <v>0.85399999999999998</v>
      </c>
      <c r="BB247" s="223">
        <v>171</v>
      </c>
      <c r="BC247" s="232">
        <v>0.83</v>
      </c>
    </row>
    <row r="248" spans="1:55" x14ac:dyDescent="0.25">
      <c r="A248" s="226">
        <v>1</v>
      </c>
      <c r="B248" s="211" t="s">
        <v>117</v>
      </c>
      <c r="C248" s="211">
        <v>782</v>
      </c>
      <c r="D248" s="211" t="s">
        <v>424</v>
      </c>
      <c r="E248" s="211">
        <v>589</v>
      </c>
      <c r="F248" s="211">
        <v>600</v>
      </c>
      <c r="G248" s="211"/>
      <c r="H248" s="220" t="str">
        <f>HYPERLINK("https://map.geo.admin.ch/?zoom=7&amp;E=665200&amp;N=167600&amp;layers=ch.kantone.cadastralwebmap-farbe,ch.swisstopo.amtliches-strassenverzeichnis,ch.bfs.gebaeude_wohnungs_register,KML||https://tinyurl.com/yy7ya4g9/BE/0782_bdg_erw.kml","KML building")</f>
        <v>KML building</v>
      </c>
      <c r="I248" s="154">
        <v>1</v>
      </c>
      <c r="J248" s="243" t="s">
        <v>1209</v>
      </c>
      <c r="K248" s="153">
        <v>1.697792869269949E-3</v>
      </c>
      <c r="L248" s="64">
        <v>0</v>
      </c>
      <c r="M248" s="64"/>
      <c r="N248" s="200">
        <v>0</v>
      </c>
      <c r="O248" s="155"/>
      <c r="P248" s="63"/>
      <c r="Q248" s="64">
        <v>0</v>
      </c>
      <c r="R248" s="64"/>
      <c r="S248" s="200">
        <v>0</v>
      </c>
      <c r="T248" s="155"/>
      <c r="U248" s="63"/>
      <c r="V248" s="64">
        <v>0</v>
      </c>
      <c r="W248" s="64"/>
      <c r="X248" s="200">
        <v>0</v>
      </c>
      <c r="Y248" s="155"/>
      <c r="Z248" s="63"/>
      <c r="AA248" s="64">
        <v>0</v>
      </c>
      <c r="AB248" s="64"/>
      <c r="AC248" s="200">
        <v>0</v>
      </c>
      <c r="AD248" s="156"/>
      <c r="AE248" s="153"/>
      <c r="AF248" s="140">
        <v>0</v>
      </c>
      <c r="AG248" s="140"/>
      <c r="AH248" s="200">
        <v>0</v>
      </c>
      <c r="AI248" s="140"/>
      <c r="AJ248" s="153"/>
      <c r="AK248" s="140">
        <v>1</v>
      </c>
      <c r="AL248" s="140"/>
      <c r="AM248" s="200">
        <v>1.6999999999999999E-3</v>
      </c>
      <c r="AN248" s="156"/>
      <c r="AO248" s="230">
        <v>1.6999999999999999E-3</v>
      </c>
      <c r="AP248" s="223">
        <v>436</v>
      </c>
      <c r="AQ248" s="223">
        <v>384</v>
      </c>
      <c r="AR248" s="235">
        <v>0.88100000000000001</v>
      </c>
      <c r="AS248" s="223">
        <v>364</v>
      </c>
      <c r="AT248" s="235">
        <v>0.83499999999999996</v>
      </c>
      <c r="AU248" s="223">
        <v>334</v>
      </c>
      <c r="AV248" s="232">
        <v>0.76600000000000001</v>
      </c>
      <c r="AW248" s="223">
        <v>288</v>
      </c>
      <c r="AX248" s="223">
        <v>275</v>
      </c>
      <c r="AY248" s="235">
        <v>0.95499999999999996</v>
      </c>
      <c r="AZ248" s="223">
        <v>264</v>
      </c>
      <c r="BA248" s="235">
        <v>0.91700000000000004</v>
      </c>
      <c r="BB248" s="223">
        <v>252</v>
      </c>
      <c r="BC248" s="232">
        <v>0.875</v>
      </c>
    </row>
    <row r="249" spans="1:55" x14ac:dyDescent="0.25">
      <c r="A249" s="226">
        <v>1</v>
      </c>
      <c r="B249" s="211" t="s">
        <v>117</v>
      </c>
      <c r="C249" s="211">
        <v>783</v>
      </c>
      <c r="D249" s="211" t="s">
        <v>425</v>
      </c>
      <c r="E249" s="211">
        <v>2180</v>
      </c>
      <c r="F249" s="211">
        <v>2182</v>
      </c>
      <c r="G249" s="211"/>
      <c r="H249" s="220" t="str">
        <f>HYPERLINK("https://map.geo.admin.ch/?zoom=7&amp;E=656300&amp;N=177900&amp;layers=ch.kantone.cadastralwebmap-farbe,ch.swisstopo.amtliches-strassenverzeichnis,ch.bfs.gebaeude_wohnungs_register,KML||https://tinyurl.com/yy7ya4g9/BE/0783_bdg_erw.kml","KML building")</f>
        <v>KML building</v>
      </c>
      <c r="I249" s="154">
        <v>0</v>
      </c>
      <c r="J249" s="243" t="s">
        <v>1210</v>
      </c>
      <c r="K249" s="153">
        <v>0</v>
      </c>
      <c r="L249" s="64">
        <v>0</v>
      </c>
      <c r="M249" s="64"/>
      <c r="N249" s="200">
        <v>0</v>
      </c>
      <c r="O249" s="155"/>
      <c r="P249" s="63"/>
      <c r="Q249" s="64">
        <v>0</v>
      </c>
      <c r="R249" s="64"/>
      <c r="S249" s="200">
        <v>0</v>
      </c>
      <c r="T249" s="155"/>
      <c r="U249" s="63"/>
      <c r="V249" s="64">
        <v>0</v>
      </c>
      <c r="W249" s="64"/>
      <c r="X249" s="200">
        <v>0</v>
      </c>
      <c r="Y249" s="155"/>
      <c r="Z249" s="63"/>
      <c r="AA249" s="64">
        <v>0</v>
      </c>
      <c r="AB249" s="64"/>
      <c r="AC249" s="200">
        <v>0</v>
      </c>
      <c r="AD249" s="156"/>
      <c r="AE249" s="153"/>
      <c r="AF249" s="140">
        <v>0</v>
      </c>
      <c r="AG249" s="140"/>
      <c r="AH249" s="200">
        <v>0</v>
      </c>
      <c r="AI249" s="140"/>
      <c r="AJ249" s="153"/>
      <c r="AK249" s="140">
        <v>1</v>
      </c>
      <c r="AL249" s="140"/>
      <c r="AM249" s="200">
        <v>5.0000000000000001E-4</v>
      </c>
      <c r="AN249" s="156"/>
      <c r="AO249" s="230">
        <v>5.0000000000000001E-4</v>
      </c>
      <c r="AP249" s="223">
        <v>1334</v>
      </c>
      <c r="AQ249" s="223">
        <v>1139</v>
      </c>
      <c r="AR249" s="235">
        <v>0.85399999999999998</v>
      </c>
      <c r="AS249" s="223">
        <v>1095</v>
      </c>
      <c r="AT249" s="235">
        <v>0.82099999999999995</v>
      </c>
      <c r="AU249" s="223">
        <v>1049</v>
      </c>
      <c r="AV249" s="232">
        <v>0.78600000000000003</v>
      </c>
      <c r="AW249" s="223">
        <v>863</v>
      </c>
      <c r="AX249" s="223">
        <v>841</v>
      </c>
      <c r="AY249" s="235">
        <v>0.97499999999999998</v>
      </c>
      <c r="AZ249" s="223">
        <v>819</v>
      </c>
      <c r="BA249" s="235">
        <v>0.94899999999999995</v>
      </c>
      <c r="BB249" s="223">
        <v>804</v>
      </c>
      <c r="BC249" s="232">
        <v>0.93200000000000005</v>
      </c>
    </row>
    <row r="250" spans="1:55" x14ac:dyDescent="0.25">
      <c r="A250" s="226">
        <v>1</v>
      </c>
      <c r="B250" s="211" t="s">
        <v>117</v>
      </c>
      <c r="C250" s="211">
        <v>784</v>
      </c>
      <c r="D250" s="211" t="s">
        <v>426</v>
      </c>
      <c r="E250" s="211">
        <v>2176</v>
      </c>
      <c r="F250" s="211">
        <v>2180</v>
      </c>
      <c r="G250" s="211"/>
      <c r="H250" s="220" t="str">
        <f>HYPERLINK("https://map.geo.admin.ch/?zoom=7&amp;E=660400&amp;N=173000&amp;layers=ch.kantone.cadastralwebmap-farbe,ch.swisstopo.amtliches-strassenverzeichnis,ch.bfs.gebaeude_wohnungs_register,KML||https://tinyurl.com/yy7ya4g9/BE/0784_bdg_erw.kml","KML building")</f>
        <v>KML building</v>
      </c>
      <c r="I250" s="154">
        <v>1</v>
      </c>
      <c r="J250" s="243" t="s">
        <v>1211</v>
      </c>
      <c r="K250" s="153">
        <v>4.5955882352941176E-4</v>
      </c>
      <c r="L250" s="64">
        <v>0</v>
      </c>
      <c r="M250" s="64"/>
      <c r="N250" s="200">
        <v>0</v>
      </c>
      <c r="O250" s="155"/>
      <c r="P250" s="63"/>
      <c r="Q250" s="64">
        <v>0</v>
      </c>
      <c r="R250" s="64"/>
      <c r="S250" s="200">
        <v>0</v>
      </c>
      <c r="T250" s="155"/>
      <c r="U250" s="63"/>
      <c r="V250" s="64">
        <v>0</v>
      </c>
      <c r="W250" s="64"/>
      <c r="X250" s="200">
        <v>0</v>
      </c>
      <c r="Y250" s="155"/>
      <c r="Z250" s="63"/>
      <c r="AA250" s="64">
        <v>0</v>
      </c>
      <c r="AB250" s="64"/>
      <c r="AC250" s="200">
        <v>0</v>
      </c>
      <c r="AD250" s="156"/>
      <c r="AE250" s="153"/>
      <c r="AF250" s="140">
        <v>2</v>
      </c>
      <c r="AG250" s="140"/>
      <c r="AH250" s="200">
        <v>8.9999999999999998E-4</v>
      </c>
      <c r="AI250" s="140"/>
      <c r="AJ250" s="153"/>
      <c r="AK250" s="140">
        <v>0</v>
      </c>
      <c r="AL250" s="140"/>
      <c r="AM250" s="200">
        <v>0</v>
      </c>
      <c r="AN250" s="156"/>
      <c r="AO250" s="230">
        <v>8.9999999999999998E-4</v>
      </c>
      <c r="AP250" s="223">
        <v>1435</v>
      </c>
      <c r="AQ250" s="223">
        <v>1186</v>
      </c>
      <c r="AR250" s="235">
        <v>0.82599999999999996</v>
      </c>
      <c r="AS250" s="223">
        <v>1191</v>
      </c>
      <c r="AT250" s="235">
        <v>0.83</v>
      </c>
      <c r="AU250" s="223">
        <v>1052</v>
      </c>
      <c r="AV250" s="232">
        <v>0.73299999999999998</v>
      </c>
      <c r="AW250" s="223">
        <v>855</v>
      </c>
      <c r="AX250" s="223">
        <v>805</v>
      </c>
      <c r="AY250" s="235">
        <v>0.94199999999999995</v>
      </c>
      <c r="AZ250" s="223">
        <v>813</v>
      </c>
      <c r="BA250" s="235">
        <v>0.95099999999999996</v>
      </c>
      <c r="BB250" s="223">
        <v>763</v>
      </c>
      <c r="BC250" s="232">
        <v>0.89200000000000002</v>
      </c>
    </row>
    <row r="251" spans="1:55" x14ac:dyDescent="0.25">
      <c r="A251" s="226">
        <v>1</v>
      </c>
      <c r="B251" s="211" t="s">
        <v>117</v>
      </c>
      <c r="C251" s="211">
        <v>785</v>
      </c>
      <c r="D251" s="211" t="s">
        <v>427</v>
      </c>
      <c r="E251" s="211">
        <v>3182</v>
      </c>
      <c r="F251" s="211">
        <v>3199</v>
      </c>
      <c r="G251" s="211"/>
      <c r="H251" s="220" t="str">
        <f>HYPERLINK("https://map.geo.admin.ch/?zoom=7&amp;E=657200&amp;N=175400&amp;layers=ch.kantone.cadastralwebmap-farbe,ch.swisstopo.amtliches-strassenverzeichnis,ch.bfs.gebaeude_wohnungs_register,KML||https://tinyurl.com/yy7ya4g9/BE/0785_bdg_erw.kml","KML building")</f>
        <v>KML building</v>
      </c>
      <c r="I251" s="154">
        <v>2</v>
      </c>
      <c r="J251" s="243" t="s">
        <v>1212</v>
      </c>
      <c r="K251" s="153">
        <v>6.285355122564425E-4</v>
      </c>
      <c r="L251" s="64">
        <v>0</v>
      </c>
      <c r="M251" s="64"/>
      <c r="N251" s="200">
        <v>0</v>
      </c>
      <c r="O251" s="155"/>
      <c r="P251" s="63"/>
      <c r="Q251" s="64">
        <v>0</v>
      </c>
      <c r="R251" s="64"/>
      <c r="S251" s="200">
        <v>0</v>
      </c>
      <c r="T251" s="155"/>
      <c r="U251" s="63"/>
      <c r="V251" s="64">
        <v>0</v>
      </c>
      <c r="W251" s="64"/>
      <c r="X251" s="200">
        <v>0</v>
      </c>
      <c r="Y251" s="155"/>
      <c r="Z251" s="63"/>
      <c r="AA251" s="64">
        <v>0</v>
      </c>
      <c r="AB251" s="64"/>
      <c r="AC251" s="200">
        <v>0</v>
      </c>
      <c r="AD251" s="156"/>
      <c r="AE251" s="153"/>
      <c r="AF251" s="140">
        <v>3</v>
      </c>
      <c r="AG251" s="140"/>
      <c r="AH251" s="200">
        <v>8.9999999999999998E-4</v>
      </c>
      <c r="AI251" s="140"/>
      <c r="AJ251" s="153"/>
      <c r="AK251" s="140">
        <v>1</v>
      </c>
      <c r="AL251" s="140"/>
      <c r="AM251" s="200">
        <v>2.9999999999999997E-4</v>
      </c>
      <c r="AN251" s="156"/>
      <c r="AO251" s="230">
        <v>1.1999999999999999E-3</v>
      </c>
      <c r="AP251" s="223">
        <v>1597</v>
      </c>
      <c r="AQ251" s="223">
        <v>1286</v>
      </c>
      <c r="AR251" s="235">
        <v>0.80500000000000005</v>
      </c>
      <c r="AS251" s="223">
        <v>1223</v>
      </c>
      <c r="AT251" s="235">
        <v>0.76600000000000001</v>
      </c>
      <c r="AU251" s="223">
        <v>1123</v>
      </c>
      <c r="AV251" s="232">
        <v>0.70299999999999996</v>
      </c>
      <c r="AW251" s="223">
        <v>940</v>
      </c>
      <c r="AX251" s="223">
        <v>875</v>
      </c>
      <c r="AY251" s="235">
        <v>0.93100000000000005</v>
      </c>
      <c r="AZ251" s="223">
        <v>818</v>
      </c>
      <c r="BA251" s="235">
        <v>0.87</v>
      </c>
      <c r="BB251" s="223">
        <v>793</v>
      </c>
      <c r="BC251" s="232">
        <v>0.84399999999999997</v>
      </c>
    </row>
    <row r="252" spans="1:55" x14ac:dyDescent="0.25">
      <c r="A252" s="226">
        <v>1</v>
      </c>
      <c r="B252" s="211" t="s">
        <v>117</v>
      </c>
      <c r="C252" s="211">
        <v>786</v>
      </c>
      <c r="D252" s="211" t="s">
        <v>428</v>
      </c>
      <c r="E252" s="211">
        <v>834</v>
      </c>
      <c r="F252" s="211">
        <v>835</v>
      </c>
      <c r="G252" s="211"/>
      <c r="H252" s="220" t="str">
        <f>HYPERLINK("https://map.geo.admin.ch/?zoom=7&amp;E=657600&amp;N=174300&amp;layers=ch.kantone.cadastralwebmap-farbe,ch.swisstopo.amtliches-strassenverzeichnis,ch.bfs.gebaeude_wohnungs_register,KML||https://tinyurl.com/yy7ya4g9/BE/0786_bdg_erw.kml","KML building")</f>
        <v>KML building</v>
      </c>
      <c r="I252" s="154">
        <v>0</v>
      </c>
      <c r="J252" s="243" t="s">
        <v>1213</v>
      </c>
      <c r="K252" s="153">
        <v>0</v>
      </c>
      <c r="L252" s="64">
        <v>0</v>
      </c>
      <c r="M252" s="64"/>
      <c r="N252" s="200">
        <v>0</v>
      </c>
      <c r="O252" s="155"/>
      <c r="P252" s="63"/>
      <c r="Q252" s="64">
        <v>0</v>
      </c>
      <c r="R252" s="64"/>
      <c r="S252" s="200">
        <v>0</v>
      </c>
      <c r="T252" s="155"/>
      <c r="U252" s="63"/>
      <c r="V252" s="64">
        <v>0</v>
      </c>
      <c r="W252" s="64"/>
      <c r="X252" s="200">
        <v>0</v>
      </c>
      <c r="Y252" s="155"/>
      <c r="Z252" s="63"/>
      <c r="AA252" s="64">
        <v>0</v>
      </c>
      <c r="AB252" s="64"/>
      <c r="AC252" s="200">
        <v>0</v>
      </c>
      <c r="AD252" s="156"/>
      <c r="AE252" s="153"/>
      <c r="AF252" s="140">
        <v>0</v>
      </c>
      <c r="AG252" s="140"/>
      <c r="AH252" s="200">
        <v>0</v>
      </c>
      <c r="AI252" s="140"/>
      <c r="AJ252" s="153"/>
      <c r="AK252" s="140">
        <v>0</v>
      </c>
      <c r="AL252" s="140"/>
      <c r="AM252" s="200">
        <v>0</v>
      </c>
      <c r="AN252" s="156"/>
      <c r="AO252" s="230">
        <v>0</v>
      </c>
      <c r="AP252" s="223">
        <v>560</v>
      </c>
      <c r="AQ252" s="223">
        <v>469</v>
      </c>
      <c r="AR252" s="235">
        <v>0.83799999999999997</v>
      </c>
      <c r="AS252" s="223">
        <v>460</v>
      </c>
      <c r="AT252" s="235">
        <v>0.82099999999999995</v>
      </c>
      <c r="AU252" s="223">
        <v>433</v>
      </c>
      <c r="AV252" s="232">
        <v>0.77300000000000002</v>
      </c>
      <c r="AW252" s="223">
        <v>380</v>
      </c>
      <c r="AX252" s="223">
        <v>364</v>
      </c>
      <c r="AY252" s="235">
        <v>0.95799999999999996</v>
      </c>
      <c r="AZ252" s="223">
        <v>348</v>
      </c>
      <c r="BA252" s="235">
        <v>0.91600000000000004</v>
      </c>
      <c r="BB252" s="223">
        <v>342</v>
      </c>
      <c r="BC252" s="232">
        <v>0.9</v>
      </c>
    </row>
    <row r="253" spans="1:55" x14ac:dyDescent="0.25">
      <c r="A253" s="226">
        <v>1</v>
      </c>
      <c r="B253" s="211" t="s">
        <v>117</v>
      </c>
      <c r="C253" s="211">
        <v>791</v>
      </c>
      <c r="D253" s="211" t="s">
        <v>429</v>
      </c>
      <c r="E253" s="211">
        <v>2097</v>
      </c>
      <c r="F253" s="211">
        <v>2097</v>
      </c>
      <c r="G253" s="211"/>
      <c r="H253" s="220" t="str">
        <f>HYPERLINK("https://map.geo.admin.ch/?zoom=7&amp;E=596500&amp;N=164200&amp;layers=ch.kantone.cadastralwebmap-farbe,ch.swisstopo.amtliches-strassenverzeichnis,ch.bfs.gebaeude_wohnungs_register,KML||https://tinyurl.com/yy7ya4g9/BE/0791_bdg_erw.kml","KML building")</f>
        <v>KML building</v>
      </c>
      <c r="I253" s="154">
        <v>0</v>
      </c>
      <c r="J253" s="243" t="s">
        <v>1214</v>
      </c>
      <c r="K253" s="153">
        <v>0</v>
      </c>
      <c r="L253" s="64">
        <v>0</v>
      </c>
      <c r="M253" s="64"/>
      <c r="N253" s="200">
        <v>0</v>
      </c>
      <c r="O253" s="155"/>
      <c r="P253" s="63"/>
      <c r="Q253" s="64">
        <v>0</v>
      </c>
      <c r="R253" s="64"/>
      <c r="S253" s="200">
        <v>0</v>
      </c>
      <c r="T253" s="155"/>
      <c r="U253" s="63"/>
      <c r="V253" s="64">
        <v>0</v>
      </c>
      <c r="W253" s="64"/>
      <c r="X253" s="200">
        <v>0</v>
      </c>
      <c r="Y253" s="155"/>
      <c r="Z253" s="63"/>
      <c r="AA253" s="64">
        <v>0</v>
      </c>
      <c r="AB253" s="64"/>
      <c r="AC253" s="200">
        <v>0</v>
      </c>
      <c r="AD253" s="156"/>
      <c r="AE253" s="153"/>
      <c r="AF253" s="140">
        <v>1</v>
      </c>
      <c r="AG253" s="140"/>
      <c r="AH253" s="200">
        <v>5.0000000000000001E-4</v>
      </c>
      <c r="AI253" s="140"/>
      <c r="AJ253" s="153"/>
      <c r="AK253" s="140">
        <v>1</v>
      </c>
      <c r="AL253" s="140"/>
      <c r="AM253" s="200">
        <v>5.0000000000000001E-4</v>
      </c>
      <c r="AN253" s="156"/>
      <c r="AO253" s="230">
        <v>1E-3</v>
      </c>
      <c r="AP253" s="223">
        <v>1445</v>
      </c>
      <c r="AQ253" s="223">
        <v>1160</v>
      </c>
      <c r="AR253" s="235">
        <v>0.80300000000000005</v>
      </c>
      <c r="AS253" s="223">
        <v>1103</v>
      </c>
      <c r="AT253" s="235">
        <v>0.76300000000000001</v>
      </c>
      <c r="AU253" s="223">
        <v>1052</v>
      </c>
      <c r="AV253" s="232">
        <v>0.72799999999999998</v>
      </c>
      <c r="AW253" s="223">
        <v>1010</v>
      </c>
      <c r="AX253" s="223">
        <v>971</v>
      </c>
      <c r="AY253" s="235">
        <v>0.96099999999999997</v>
      </c>
      <c r="AZ253" s="223">
        <v>939</v>
      </c>
      <c r="BA253" s="235">
        <v>0.93</v>
      </c>
      <c r="BB253" s="223">
        <v>914</v>
      </c>
      <c r="BC253" s="232">
        <v>0.90500000000000003</v>
      </c>
    </row>
    <row r="254" spans="1:55" x14ac:dyDescent="0.25">
      <c r="A254" s="226">
        <v>1</v>
      </c>
      <c r="B254" s="211" t="s">
        <v>117</v>
      </c>
      <c r="C254" s="211">
        <v>792</v>
      </c>
      <c r="D254" s="211" t="s">
        <v>430</v>
      </c>
      <c r="E254" s="211">
        <v>3407</v>
      </c>
      <c r="F254" s="211">
        <v>3414</v>
      </c>
      <c r="G254" s="211"/>
      <c r="H254" s="220" t="str">
        <f>HYPERLINK("https://map.geo.admin.ch/?zoom=7&amp;E=600300&amp;N=145100&amp;layers=ch.kantone.cadastralwebmap-farbe,ch.swisstopo.amtliches-strassenverzeichnis,ch.bfs.gebaeude_wohnungs_register,KML||https://tinyurl.com/yy7ya4g9/BE/0792_bdg_erw.kml","KML building")</f>
        <v>KML building</v>
      </c>
      <c r="I254" s="154">
        <v>3</v>
      </c>
      <c r="J254" s="243" t="s">
        <v>1215</v>
      </c>
      <c r="K254" s="153">
        <v>8.8054006457293811E-4</v>
      </c>
      <c r="L254" s="64">
        <v>0</v>
      </c>
      <c r="M254" s="64"/>
      <c r="N254" s="200">
        <v>0</v>
      </c>
      <c r="O254" s="155"/>
      <c r="P254" s="63"/>
      <c r="Q254" s="64">
        <v>0</v>
      </c>
      <c r="R254" s="64"/>
      <c r="S254" s="200">
        <v>0</v>
      </c>
      <c r="T254" s="155"/>
      <c r="U254" s="63"/>
      <c r="V254" s="64">
        <v>0</v>
      </c>
      <c r="W254" s="64"/>
      <c r="X254" s="200">
        <v>0</v>
      </c>
      <c r="Y254" s="155"/>
      <c r="Z254" s="63"/>
      <c r="AA254" s="64">
        <v>0</v>
      </c>
      <c r="AB254" s="64"/>
      <c r="AC254" s="200">
        <v>0</v>
      </c>
      <c r="AD254" s="156"/>
      <c r="AE254" s="153"/>
      <c r="AF254" s="140">
        <v>4</v>
      </c>
      <c r="AG254" s="140"/>
      <c r="AH254" s="200">
        <v>1.1999999999999999E-3</v>
      </c>
      <c r="AI254" s="140"/>
      <c r="AJ254" s="153"/>
      <c r="AK254" s="140">
        <v>2</v>
      </c>
      <c r="AL254" s="140"/>
      <c r="AM254" s="200">
        <v>5.9999999999999995E-4</v>
      </c>
      <c r="AN254" s="156"/>
      <c r="AO254" s="230">
        <v>1.8E-3</v>
      </c>
      <c r="AP254" s="223">
        <v>1439</v>
      </c>
      <c r="AQ254" s="223">
        <v>1156</v>
      </c>
      <c r="AR254" s="235">
        <v>0.80300000000000005</v>
      </c>
      <c r="AS254" s="223">
        <v>1122</v>
      </c>
      <c r="AT254" s="235">
        <v>0.78</v>
      </c>
      <c r="AU254" s="223">
        <v>971</v>
      </c>
      <c r="AV254" s="232">
        <v>0.67500000000000004</v>
      </c>
      <c r="AW254" s="223">
        <v>912</v>
      </c>
      <c r="AX254" s="223">
        <v>778</v>
      </c>
      <c r="AY254" s="235">
        <v>0.85299999999999998</v>
      </c>
      <c r="AZ254" s="223">
        <v>803</v>
      </c>
      <c r="BA254" s="235">
        <v>0.88</v>
      </c>
      <c r="BB254" s="223">
        <v>698</v>
      </c>
      <c r="BC254" s="232">
        <v>0.76500000000000001</v>
      </c>
    </row>
    <row r="255" spans="1:55" x14ac:dyDescent="0.25">
      <c r="A255" s="226">
        <v>1</v>
      </c>
      <c r="B255" s="211" t="s">
        <v>117</v>
      </c>
      <c r="C255" s="211">
        <v>793</v>
      </c>
      <c r="D255" s="211" t="s">
        <v>431</v>
      </c>
      <c r="E255" s="211">
        <v>1729</v>
      </c>
      <c r="F255" s="211">
        <v>1734</v>
      </c>
      <c r="G255" s="211"/>
      <c r="H255" s="220" t="str">
        <f>HYPERLINK("https://map.geo.admin.ch/?zoom=7&amp;E=596700&amp;N=150900&amp;layers=ch.kantone.cadastralwebmap-farbe,ch.swisstopo.amtliches-strassenverzeichnis,ch.bfs.gebaeude_wohnungs_register,KML||https://tinyurl.com/yy7ya4g9/BE/0793_bdg_erw.kml","KML building")</f>
        <v>KML building</v>
      </c>
      <c r="I255" s="154">
        <v>0</v>
      </c>
      <c r="J255" s="243" t="s">
        <v>1216</v>
      </c>
      <c r="K255" s="153">
        <v>0</v>
      </c>
      <c r="L255" s="64">
        <v>0</v>
      </c>
      <c r="M255" s="64"/>
      <c r="N255" s="200">
        <v>0</v>
      </c>
      <c r="O255" s="155"/>
      <c r="P255" s="63"/>
      <c r="Q255" s="64">
        <v>0</v>
      </c>
      <c r="R255" s="64"/>
      <c r="S255" s="200">
        <v>0</v>
      </c>
      <c r="T255" s="155"/>
      <c r="U255" s="63"/>
      <c r="V255" s="64">
        <v>0</v>
      </c>
      <c r="W255" s="64"/>
      <c r="X255" s="200">
        <v>0</v>
      </c>
      <c r="Y255" s="155"/>
      <c r="Z255" s="63"/>
      <c r="AA255" s="64">
        <v>0</v>
      </c>
      <c r="AB255" s="64"/>
      <c r="AC255" s="200">
        <v>0</v>
      </c>
      <c r="AD255" s="156"/>
      <c r="AE255" s="153"/>
      <c r="AF255" s="140">
        <v>4</v>
      </c>
      <c r="AG255" s="140"/>
      <c r="AH255" s="200">
        <v>2.3E-3</v>
      </c>
      <c r="AI255" s="140"/>
      <c r="AJ255" s="153"/>
      <c r="AK255" s="140">
        <v>0</v>
      </c>
      <c r="AL255" s="140"/>
      <c r="AM255" s="200">
        <v>0</v>
      </c>
      <c r="AN255" s="156"/>
      <c r="AO255" s="230">
        <v>2.3E-3</v>
      </c>
      <c r="AP255" s="223">
        <v>978</v>
      </c>
      <c r="AQ255" s="223">
        <v>957</v>
      </c>
      <c r="AR255" s="235">
        <v>0.97899999999999998</v>
      </c>
      <c r="AS255" s="223">
        <v>742</v>
      </c>
      <c r="AT255" s="235">
        <v>0.75900000000000001</v>
      </c>
      <c r="AU255" s="223">
        <v>725</v>
      </c>
      <c r="AV255" s="232">
        <v>0.74099999999999999</v>
      </c>
      <c r="AW255" s="223">
        <v>641</v>
      </c>
      <c r="AX255" s="223">
        <v>623</v>
      </c>
      <c r="AY255" s="235">
        <v>0.97199999999999998</v>
      </c>
      <c r="AZ255" s="223">
        <v>568</v>
      </c>
      <c r="BA255" s="235">
        <v>0.88600000000000001</v>
      </c>
      <c r="BB255" s="223">
        <v>552</v>
      </c>
      <c r="BC255" s="232">
        <v>0.86099999999999999</v>
      </c>
    </row>
    <row r="256" spans="1:55" x14ac:dyDescent="0.25">
      <c r="A256" s="226">
        <v>1</v>
      </c>
      <c r="B256" s="211" t="s">
        <v>117</v>
      </c>
      <c r="C256" s="211">
        <v>794</v>
      </c>
      <c r="D256" s="211" t="s">
        <v>432</v>
      </c>
      <c r="E256" s="211">
        <v>2851</v>
      </c>
      <c r="F256" s="211">
        <v>2866</v>
      </c>
      <c r="G256" s="211"/>
      <c r="H256" s="220" t="str">
        <f>HYPERLINK("https://map.geo.admin.ch/?zoom=7&amp;E=594900&amp;N=155900&amp;layers=ch.kantone.cadastralwebmap-farbe,ch.swisstopo.amtliches-strassenverzeichnis,ch.bfs.gebaeude_wohnungs_register,KML||https://tinyurl.com/yy7ya4g9/BE/0794_bdg_erw.kml","KML building")</f>
        <v>KML building</v>
      </c>
      <c r="I256" s="154">
        <v>0</v>
      </c>
      <c r="J256" s="243" t="s">
        <v>1217</v>
      </c>
      <c r="K256" s="153">
        <v>0</v>
      </c>
      <c r="L256" s="64">
        <v>0</v>
      </c>
      <c r="M256" s="64"/>
      <c r="N256" s="200">
        <v>0</v>
      </c>
      <c r="O256" s="155"/>
      <c r="P256" s="63"/>
      <c r="Q256" s="64">
        <v>0</v>
      </c>
      <c r="R256" s="64"/>
      <c r="S256" s="200">
        <v>0</v>
      </c>
      <c r="T256" s="155"/>
      <c r="U256" s="63"/>
      <c r="V256" s="64">
        <v>0</v>
      </c>
      <c r="W256" s="64"/>
      <c r="X256" s="200">
        <v>0</v>
      </c>
      <c r="Y256" s="155"/>
      <c r="Z256" s="63"/>
      <c r="AA256" s="64">
        <v>0</v>
      </c>
      <c r="AB256" s="64"/>
      <c r="AC256" s="200">
        <v>0</v>
      </c>
      <c r="AD256" s="156"/>
      <c r="AE256" s="153"/>
      <c r="AF256" s="140">
        <v>3</v>
      </c>
      <c r="AG256" s="140"/>
      <c r="AH256" s="200">
        <v>1.1000000000000001E-3</v>
      </c>
      <c r="AI256" s="140"/>
      <c r="AJ256" s="153"/>
      <c r="AK256" s="140">
        <v>6</v>
      </c>
      <c r="AL256" s="140"/>
      <c r="AM256" s="200">
        <v>2.0999999999999999E-3</v>
      </c>
      <c r="AN256" s="156"/>
      <c r="AO256" s="230">
        <v>3.1999999999999997E-3</v>
      </c>
      <c r="AP256" s="223">
        <v>1525</v>
      </c>
      <c r="AQ256" s="223">
        <v>1264</v>
      </c>
      <c r="AR256" s="235">
        <v>0.82899999999999996</v>
      </c>
      <c r="AS256" s="223">
        <v>1161</v>
      </c>
      <c r="AT256" s="235">
        <v>0.76100000000000001</v>
      </c>
      <c r="AU256" s="223">
        <v>1122</v>
      </c>
      <c r="AV256" s="232">
        <v>0.73599999999999999</v>
      </c>
      <c r="AW256" s="223">
        <v>1032</v>
      </c>
      <c r="AX256" s="223">
        <v>1002</v>
      </c>
      <c r="AY256" s="235">
        <v>0.97099999999999997</v>
      </c>
      <c r="AZ256" s="223">
        <v>944</v>
      </c>
      <c r="BA256" s="235">
        <v>0.91500000000000004</v>
      </c>
      <c r="BB256" s="223">
        <v>930</v>
      </c>
      <c r="BC256" s="232">
        <v>0.90100000000000002</v>
      </c>
    </row>
    <row r="257" spans="1:55" x14ac:dyDescent="0.25">
      <c r="A257" s="226">
        <v>1</v>
      </c>
      <c r="B257" s="211" t="s">
        <v>117</v>
      </c>
      <c r="C257" s="211">
        <v>841</v>
      </c>
      <c r="D257" s="211" t="s">
        <v>433</v>
      </c>
      <c r="E257" s="211">
        <v>1310</v>
      </c>
      <c r="F257" s="211">
        <v>1313</v>
      </c>
      <c r="G257" s="211"/>
      <c r="H257" s="220" t="str">
        <f>HYPERLINK("https://map.geo.admin.ch/?zoom=7&amp;E=586800&amp;N=137100&amp;layers=ch.kantone.cadastralwebmap-farbe,ch.swisstopo.amtliches-strassenverzeichnis,ch.bfs.gebaeude_wohnungs_register,KML||https://tinyurl.com/yy7ya4g9/BE/0841_bdg_erw.kml","KML building")</f>
        <v>KML building</v>
      </c>
      <c r="I257" s="154">
        <v>0</v>
      </c>
      <c r="J257" s="243" t="s">
        <v>1218</v>
      </c>
      <c r="K257" s="153">
        <v>0</v>
      </c>
      <c r="L257" s="64">
        <v>0</v>
      </c>
      <c r="M257" s="64"/>
      <c r="N257" s="200">
        <v>0</v>
      </c>
      <c r="O257" s="155"/>
      <c r="P257" s="63"/>
      <c r="Q257" s="64">
        <v>0</v>
      </c>
      <c r="R257" s="64"/>
      <c r="S257" s="200">
        <v>0</v>
      </c>
      <c r="T257" s="155"/>
      <c r="U257" s="63"/>
      <c r="V257" s="64">
        <v>0</v>
      </c>
      <c r="W257" s="64"/>
      <c r="X257" s="200">
        <v>0</v>
      </c>
      <c r="Y257" s="155"/>
      <c r="Z257" s="63"/>
      <c r="AA257" s="64">
        <v>0</v>
      </c>
      <c r="AB257" s="64"/>
      <c r="AC257" s="200">
        <v>0</v>
      </c>
      <c r="AD257" s="156"/>
      <c r="AE257" s="153"/>
      <c r="AF257" s="140">
        <v>2</v>
      </c>
      <c r="AG257" s="140"/>
      <c r="AH257" s="200">
        <v>1.5E-3</v>
      </c>
      <c r="AI257" s="140"/>
      <c r="AJ257" s="153"/>
      <c r="AK257" s="140">
        <v>1</v>
      </c>
      <c r="AL257" s="140"/>
      <c r="AM257" s="200">
        <v>8.0000000000000004E-4</v>
      </c>
      <c r="AN257" s="156"/>
      <c r="AO257" s="230">
        <v>2.3E-3</v>
      </c>
      <c r="AP257" s="223">
        <v>819</v>
      </c>
      <c r="AQ257" s="223">
        <v>708</v>
      </c>
      <c r="AR257" s="235">
        <v>0.86399999999999999</v>
      </c>
      <c r="AS257" s="223">
        <v>687</v>
      </c>
      <c r="AT257" s="235">
        <v>0.83899999999999997</v>
      </c>
      <c r="AU257" s="223">
        <v>658</v>
      </c>
      <c r="AV257" s="232">
        <v>0.80300000000000005</v>
      </c>
      <c r="AW257" s="223">
        <v>629</v>
      </c>
      <c r="AX257" s="223">
        <v>588</v>
      </c>
      <c r="AY257" s="235">
        <v>0.93500000000000005</v>
      </c>
      <c r="AZ257" s="223">
        <v>586</v>
      </c>
      <c r="BA257" s="235">
        <v>0.93200000000000005</v>
      </c>
      <c r="BB257" s="223">
        <v>567</v>
      </c>
      <c r="BC257" s="232">
        <v>0.90100000000000002</v>
      </c>
    </row>
    <row r="258" spans="1:55" x14ac:dyDescent="0.25">
      <c r="A258" s="226">
        <v>1</v>
      </c>
      <c r="B258" s="211" t="s">
        <v>117</v>
      </c>
      <c r="C258" s="211">
        <v>842</v>
      </c>
      <c r="D258" s="211" t="s">
        <v>434</v>
      </c>
      <c r="E258" s="211">
        <v>1236</v>
      </c>
      <c r="F258" s="211">
        <v>1237</v>
      </c>
      <c r="G258" s="211"/>
      <c r="H258" s="220" t="str">
        <f>HYPERLINK("https://map.geo.admin.ch/?zoom=7&amp;E=591100&amp;N=141400&amp;layers=ch.kantone.cadastralwebmap-farbe,ch.swisstopo.amtliches-strassenverzeichnis,ch.bfs.gebaeude_wohnungs_register,KML||https://tinyurl.com/yy7ya4g9/BE/0842_bdg_erw.kml","KML building")</f>
        <v>KML building</v>
      </c>
      <c r="I258" s="154">
        <v>0</v>
      </c>
      <c r="J258" s="243" t="s">
        <v>1219</v>
      </c>
      <c r="K258" s="153">
        <v>0</v>
      </c>
      <c r="L258" s="64">
        <v>0</v>
      </c>
      <c r="M258" s="64"/>
      <c r="N258" s="200">
        <v>0</v>
      </c>
      <c r="O258" s="155"/>
      <c r="P258" s="63"/>
      <c r="Q258" s="64">
        <v>0</v>
      </c>
      <c r="R258" s="64"/>
      <c r="S258" s="200">
        <v>0</v>
      </c>
      <c r="T258" s="155"/>
      <c r="U258" s="63"/>
      <c r="V258" s="64">
        <v>0</v>
      </c>
      <c r="W258" s="64"/>
      <c r="X258" s="200">
        <v>0</v>
      </c>
      <c r="Y258" s="155"/>
      <c r="Z258" s="63"/>
      <c r="AA258" s="64">
        <v>0</v>
      </c>
      <c r="AB258" s="64"/>
      <c r="AC258" s="200">
        <v>0</v>
      </c>
      <c r="AD258" s="156"/>
      <c r="AE258" s="153"/>
      <c r="AF258" s="140">
        <v>2</v>
      </c>
      <c r="AG258" s="140"/>
      <c r="AH258" s="200">
        <v>1.6000000000000001E-3</v>
      </c>
      <c r="AI258" s="140"/>
      <c r="AJ258" s="153"/>
      <c r="AK258" s="140">
        <v>0</v>
      </c>
      <c r="AL258" s="140"/>
      <c r="AM258" s="200">
        <v>0</v>
      </c>
      <c r="AN258" s="156"/>
      <c r="AO258" s="230">
        <v>1.6000000000000001E-3</v>
      </c>
      <c r="AP258" s="223">
        <v>781</v>
      </c>
      <c r="AQ258" s="223">
        <v>677</v>
      </c>
      <c r="AR258" s="235">
        <v>0.86699999999999999</v>
      </c>
      <c r="AS258" s="223">
        <v>698</v>
      </c>
      <c r="AT258" s="235">
        <v>0.89400000000000002</v>
      </c>
      <c r="AU258" s="223">
        <v>662</v>
      </c>
      <c r="AV258" s="232">
        <v>0.84799999999999998</v>
      </c>
      <c r="AW258" s="223">
        <v>531</v>
      </c>
      <c r="AX258" s="223">
        <v>503</v>
      </c>
      <c r="AY258" s="235">
        <v>0.94699999999999995</v>
      </c>
      <c r="AZ258" s="223">
        <v>506</v>
      </c>
      <c r="BA258" s="235">
        <v>0.95299999999999996</v>
      </c>
      <c r="BB258" s="223">
        <v>492</v>
      </c>
      <c r="BC258" s="232">
        <v>0.92700000000000005</v>
      </c>
    </row>
    <row r="259" spans="1:55" x14ac:dyDescent="0.25">
      <c r="A259" s="226">
        <v>1</v>
      </c>
      <c r="B259" s="211" t="s">
        <v>117</v>
      </c>
      <c r="C259" s="211">
        <v>843</v>
      </c>
      <c r="D259" s="211" t="s">
        <v>435</v>
      </c>
      <c r="E259" s="211">
        <v>6293</v>
      </c>
      <c r="F259" s="211">
        <v>6339</v>
      </c>
      <c r="G259" s="211"/>
      <c r="H259" s="220" t="str">
        <f>HYPERLINK("https://map.geo.admin.ch/?zoom=7&amp;E=587500&amp;N=147500&amp;layers=ch.kantone.cadastralwebmap-farbe,ch.swisstopo.amtliches-strassenverzeichnis,ch.bfs.gebaeude_wohnungs_register,KML||https://tinyurl.com/yy7ya4g9/BE/0843_bdg_erw.kml","KML building")</f>
        <v>KML building</v>
      </c>
      <c r="I259" s="154">
        <v>1</v>
      </c>
      <c r="J259" s="243" t="s">
        <v>1220</v>
      </c>
      <c r="K259" s="153">
        <v>1.5890672175433021E-4</v>
      </c>
      <c r="L259" s="64">
        <v>0</v>
      </c>
      <c r="M259" s="64"/>
      <c r="N259" s="200">
        <v>0</v>
      </c>
      <c r="O259" s="155"/>
      <c r="P259" s="63"/>
      <c r="Q259" s="64">
        <v>0</v>
      </c>
      <c r="R259" s="64"/>
      <c r="S259" s="200">
        <v>0</v>
      </c>
      <c r="T259" s="155"/>
      <c r="U259" s="63"/>
      <c r="V259" s="64">
        <v>0</v>
      </c>
      <c r="W259" s="64"/>
      <c r="X259" s="200">
        <v>0</v>
      </c>
      <c r="Y259" s="155"/>
      <c r="Z259" s="63"/>
      <c r="AA259" s="64">
        <v>0</v>
      </c>
      <c r="AB259" s="64"/>
      <c r="AC259" s="200">
        <v>0</v>
      </c>
      <c r="AD259" s="156"/>
      <c r="AE259" s="153"/>
      <c r="AF259" s="140">
        <v>3</v>
      </c>
      <c r="AG259" s="140"/>
      <c r="AH259" s="200">
        <v>5.0000000000000001E-4</v>
      </c>
      <c r="AI259" s="140"/>
      <c r="AJ259" s="153"/>
      <c r="AK259" s="140">
        <v>1</v>
      </c>
      <c r="AL259" s="140"/>
      <c r="AM259" s="200">
        <v>2.0000000000000001E-4</v>
      </c>
      <c r="AN259" s="156"/>
      <c r="AO259" s="230">
        <v>6.9999999999999999E-4</v>
      </c>
      <c r="AP259" s="223">
        <v>2317</v>
      </c>
      <c r="AQ259" s="223">
        <v>1997</v>
      </c>
      <c r="AR259" s="235">
        <v>0.86199999999999999</v>
      </c>
      <c r="AS259" s="223">
        <v>1889</v>
      </c>
      <c r="AT259" s="235">
        <v>0.81499999999999995</v>
      </c>
      <c r="AU259" s="223">
        <v>1880</v>
      </c>
      <c r="AV259" s="232">
        <v>0.81100000000000005</v>
      </c>
      <c r="AW259" s="223">
        <v>1706</v>
      </c>
      <c r="AX259" s="223">
        <v>1613</v>
      </c>
      <c r="AY259" s="235">
        <v>0.94499999999999995</v>
      </c>
      <c r="AZ259" s="223">
        <v>1552</v>
      </c>
      <c r="BA259" s="235">
        <v>0.91</v>
      </c>
      <c r="BB259" s="223">
        <v>1543</v>
      </c>
      <c r="BC259" s="232">
        <v>0.90400000000000003</v>
      </c>
    </row>
    <row r="260" spans="1:55" x14ac:dyDescent="0.25">
      <c r="A260" s="226">
        <v>1</v>
      </c>
      <c r="B260" s="211" t="s">
        <v>117</v>
      </c>
      <c r="C260" s="211">
        <v>852</v>
      </c>
      <c r="D260" s="211" t="s">
        <v>436</v>
      </c>
      <c r="E260" s="211">
        <v>1875</v>
      </c>
      <c r="F260" s="211">
        <v>1876</v>
      </c>
      <c r="G260" s="211"/>
      <c r="H260" s="220" t="str">
        <f>HYPERLINK("https://map.geo.admin.ch/?zoom=7&amp;E=591600&amp;N=179600&amp;layers=ch.kantone.cadastralwebmap-farbe,ch.swisstopo.amtliches-strassenverzeichnis,ch.bfs.gebaeude_wohnungs_register,KML||https://tinyurl.com/yy7ya4g9/BE/0852_bdg_erw.kml","KML building")</f>
        <v>KML building</v>
      </c>
      <c r="I260" s="154">
        <v>1</v>
      </c>
      <c r="J260" s="243" t="s">
        <v>1221</v>
      </c>
      <c r="K260" s="153">
        <v>5.3333333333333336E-4</v>
      </c>
      <c r="L260" s="64">
        <v>0</v>
      </c>
      <c r="M260" s="64"/>
      <c r="N260" s="200">
        <v>0</v>
      </c>
      <c r="O260" s="155"/>
      <c r="P260" s="63"/>
      <c r="Q260" s="64">
        <v>0</v>
      </c>
      <c r="R260" s="64"/>
      <c r="S260" s="200">
        <v>0</v>
      </c>
      <c r="T260" s="155"/>
      <c r="U260" s="63"/>
      <c r="V260" s="64">
        <v>0</v>
      </c>
      <c r="W260" s="64"/>
      <c r="X260" s="200">
        <v>0</v>
      </c>
      <c r="Y260" s="155"/>
      <c r="Z260" s="63"/>
      <c r="AA260" s="64">
        <v>0</v>
      </c>
      <c r="AB260" s="64"/>
      <c r="AC260" s="200">
        <v>0</v>
      </c>
      <c r="AD260" s="156"/>
      <c r="AE260" s="153"/>
      <c r="AF260" s="140">
        <v>6</v>
      </c>
      <c r="AG260" s="140"/>
      <c r="AH260" s="200">
        <v>3.2000000000000002E-3</v>
      </c>
      <c r="AI260" s="140"/>
      <c r="AJ260" s="153"/>
      <c r="AK260" s="140">
        <v>0</v>
      </c>
      <c r="AL260" s="140"/>
      <c r="AM260" s="200">
        <v>0</v>
      </c>
      <c r="AN260" s="156"/>
      <c r="AO260" s="230">
        <v>3.2000000000000002E-3</v>
      </c>
      <c r="AP260" s="223">
        <v>1168</v>
      </c>
      <c r="AQ260" s="223">
        <v>1014</v>
      </c>
      <c r="AR260" s="235">
        <v>0.86799999999999999</v>
      </c>
      <c r="AS260" s="223">
        <v>933</v>
      </c>
      <c r="AT260" s="235">
        <v>0.79900000000000004</v>
      </c>
      <c r="AU260" s="223">
        <v>910</v>
      </c>
      <c r="AV260" s="232">
        <v>0.77900000000000003</v>
      </c>
      <c r="AW260" s="223">
        <v>632</v>
      </c>
      <c r="AX260" s="223">
        <v>620</v>
      </c>
      <c r="AY260" s="235">
        <v>0.98099999999999998</v>
      </c>
      <c r="AZ260" s="223">
        <v>592</v>
      </c>
      <c r="BA260" s="235">
        <v>0.93700000000000006</v>
      </c>
      <c r="BB260" s="223">
        <v>587</v>
      </c>
      <c r="BC260" s="232">
        <v>0.92900000000000005</v>
      </c>
    </row>
    <row r="261" spans="1:55" x14ac:dyDescent="0.25">
      <c r="A261" s="226">
        <v>1</v>
      </c>
      <c r="B261" s="211" t="s">
        <v>117</v>
      </c>
      <c r="C261" s="211">
        <v>853</v>
      </c>
      <c r="D261" s="211" t="s">
        <v>437</v>
      </c>
      <c r="E261" s="211">
        <v>1746</v>
      </c>
      <c r="F261" s="211">
        <v>1746</v>
      </c>
      <c r="G261" s="211"/>
      <c r="H261" s="220" t="str">
        <f>HYPERLINK("https://map.geo.admin.ch/?zoom=7&amp;E=595300&amp;N=180700&amp;layers=ch.kantone.cadastralwebmap-farbe,ch.swisstopo.amtliches-strassenverzeichnis,ch.bfs.gebaeude_wohnungs_register,KML||https://tinyurl.com/yy7ya4g9/BE/0853_bdg_erw.kml","KML building")</f>
        <v>KML building</v>
      </c>
      <c r="I261" s="154">
        <v>3</v>
      </c>
      <c r="J261" s="243" t="s">
        <v>1222</v>
      </c>
      <c r="K261" s="153">
        <v>1.718213058419244E-3</v>
      </c>
      <c r="L261" s="64">
        <v>0</v>
      </c>
      <c r="M261" s="64"/>
      <c r="N261" s="200">
        <v>0</v>
      </c>
      <c r="O261" s="155"/>
      <c r="P261" s="63"/>
      <c r="Q261" s="64">
        <v>0</v>
      </c>
      <c r="R261" s="64"/>
      <c r="S261" s="200">
        <v>0</v>
      </c>
      <c r="T261" s="155"/>
      <c r="U261" s="63"/>
      <c r="V261" s="64">
        <v>0</v>
      </c>
      <c r="W261" s="64"/>
      <c r="X261" s="200">
        <v>0</v>
      </c>
      <c r="Y261" s="155"/>
      <c r="Z261" s="63"/>
      <c r="AA261" s="64">
        <v>0</v>
      </c>
      <c r="AB261" s="64"/>
      <c r="AC261" s="200">
        <v>0</v>
      </c>
      <c r="AD261" s="156"/>
      <c r="AE261" s="153"/>
      <c r="AF261" s="140">
        <v>12</v>
      </c>
      <c r="AG261" s="140"/>
      <c r="AH261" s="200">
        <v>6.8999999999999999E-3</v>
      </c>
      <c r="AI261" s="140"/>
      <c r="AJ261" s="153"/>
      <c r="AK261" s="140">
        <v>1</v>
      </c>
      <c r="AL261" s="140"/>
      <c r="AM261" s="200">
        <v>5.9999999999999995E-4</v>
      </c>
      <c r="AN261" s="156"/>
      <c r="AO261" s="230">
        <v>7.4999999999999997E-3</v>
      </c>
      <c r="AP261" s="223">
        <v>962</v>
      </c>
      <c r="AQ261" s="223">
        <v>786</v>
      </c>
      <c r="AR261" s="235">
        <v>0.81699999999999995</v>
      </c>
      <c r="AS261" s="223">
        <v>761</v>
      </c>
      <c r="AT261" s="235">
        <v>0.79100000000000004</v>
      </c>
      <c r="AU261" s="223">
        <v>728</v>
      </c>
      <c r="AV261" s="232">
        <v>0.75700000000000001</v>
      </c>
      <c r="AW261" s="223">
        <v>521</v>
      </c>
      <c r="AX261" s="223">
        <v>505</v>
      </c>
      <c r="AY261" s="235">
        <v>0.96899999999999997</v>
      </c>
      <c r="AZ261" s="223">
        <v>496</v>
      </c>
      <c r="BA261" s="235">
        <v>0.95199999999999996</v>
      </c>
      <c r="BB261" s="223">
        <v>487</v>
      </c>
      <c r="BC261" s="232">
        <v>0.93500000000000005</v>
      </c>
    </row>
    <row r="262" spans="1:55" x14ac:dyDescent="0.25">
      <c r="A262" s="226">
        <v>1</v>
      </c>
      <c r="B262" s="211" t="s">
        <v>117</v>
      </c>
      <c r="C262" s="211">
        <v>855</v>
      </c>
      <c r="D262" s="211" t="s">
        <v>438</v>
      </c>
      <c r="E262" s="211">
        <v>4372</v>
      </c>
      <c r="F262" s="211">
        <v>4380</v>
      </c>
      <c r="G262" s="211"/>
      <c r="H262" s="220" t="str">
        <f>HYPERLINK("https://map.geo.admin.ch/?zoom=7&amp;E=592600&amp;N=185200&amp;layers=ch.kantone.cadastralwebmap-farbe,ch.swisstopo.amtliches-strassenverzeichnis,ch.bfs.gebaeude_wohnungs_register,KML||https://tinyurl.com/yy7ya4g9/BE/0855_bdg_erw.kml","KML building")</f>
        <v>KML building</v>
      </c>
      <c r="I262" s="154">
        <v>4</v>
      </c>
      <c r="J262" s="243" t="s">
        <v>1223</v>
      </c>
      <c r="K262" s="153">
        <v>9.1491308325709062E-4</v>
      </c>
      <c r="L262" s="64">
        <v>0</v>
      </c>
      <c r="M262" s="64"/>
      <c r="N262" s="200">
        <v>0</v>
      </c>
      <c r="O262" s="155"/>
      <c r="P262" s="63"/>
      <c r="Q262" s="64">
        <v>0</v>
      </c>
      <c r="R262" s="64"/>
      <c r="S262" s="200">
        <v>0</v>
      </c>
      <c r="T262" s="155"/>
      <c r="U262" s="63"/>
      <c r="V262" s="64">
        <v>0</v>
      </c>
      <c r="W262" s="64"/>
      <c r="X262" s="200">
        <v>0</v>
      </c>
      <c r="Y262" s="155"/>
      <c r="Z262" s="63"/>
      <c r="AA262" s="64">
        <v>0</v>
      </c>
      <c r="AB262" s="64"/>
      <c r="AC262" s="200">
        <v>0</v>
      </c>
      <c r="AD262" s="156"/>
      <c r="AE262" s="153"/>
      <c r="AF262" s="140">
        <v>4</v>
      </c>
      <c r="AG262" s="140"/>
      <c r="AH262" s="200">
        <v>8.9999999999999998E-4</v>
      </c>
      <c r="AI262" s="140"/>
      <c r="AJ262" s="153"/>
      <c r="AK262" s="140">
        <v>1</v>
      </c>
      <c r="AL262" s="140"/>
      <c r="AM262" s="200">
        <v>2.0000000000000001E-4</v>
      </c>
      <c r="AN262" s="156"/>
      <c r="AO262" s="230">
        <v>1.1000000000000001E-3</v>
      </c>
      <c r="AP262" s="223">
        <v>2290</v>
      </c>
      <c r="AQ262" s="223">
        <v>1880</v>
      </c>
      <c r="AR262" s="235">
        <v>0.82099999999999995</v>
      </c>
      <c r="AS262" s="223">
        <v>1689</v>
      </c>
      <c r="AT262" s="235">
        <v>0.73799999999999999</v>
      </c>
      <c r="AU262" s="223">
        <v>1654</v>
      </c>
      <c r="AV262" s="232">
        <v>0.72199999999999998</v>
      </c>
      <c r="AW262" s="223">
        <v>1183</v>
      </c>
      <c r="AX262" s="223">
        <v>1147</v>
      </c>
      <c r="AY262" s="235">
        <v>0.97</v>
      </c>
      <c r="AZ262" s="223">
        <v>1067</v>
      </c>
      <c r="BA262" s="235">
        <v>0.90200000000000002</v>
      </c>
      <c r="BB262" s="223">
        <v>1056</v>
      </c>
      <c r="BC262" s="232">
        <v>0.89300000000000002</v>
      </c>
    </row>
    <row r="263" spans="1:55" x14ac:dyDescent="0.25">
      <c r="A263" s="226">
        <v>1</v>
      </c>
      <c r="B263" s="211" t="s">
        <v>117</v>
      </c>
      <c r="C263" s="211">
        <v>861</v>
      </c>
      <c r="D263" s="211" t="s">
        <v>439</v>
      </c>
      <c r="E263" s="211">
        <v>3642</v>
      </c>
      <c r="F263" s="211">
        <v>3679</v>
      </c>
      <c r="G263" s="211"/>
      <c r="H263" s="220" t="str">
        <f>HYPERLINK("https://map.geo.admin.ch/?zoom=7&amp;E=604700&amp;N=193300&amp;layers=ch.kantone.cadastralwebmap-farbe,ch.swisstopo.amtliches-strassenverzeichnis,ch.bfs.gebaeude_wohnungs_register,KML||https://tinyurl.com/yy7ya4g9/BE/0861_bdg_erw.kml","KML building")</f>
        <v>KML building</v>
      </c>
      <c r="I263" s="154">
        <v>6</v>
      </c>
      <c r="J263" s="243" t="s">
        <v>1224</v>
      </c>
      <c r="K263" s="153">
        <v>1.6474464579901153E-3</v>
      </c>
      <c r="L263" s="64">
        <v>0</v>
      </c>
      <c r="M263" s="64"/>
      <c r="N263" s="200">
        <v>0</v>
      </c>
      <c r="O263" s="155"/>
      <c r="P263" s="63"/>
      <c r="Q263" s="64">
        <v>0</v>
      </c>
      <c r="R263" s="64"/>
      <c r="S263" s="200">
        <v>0</v>
      </c>
      <c r="T263" s="155"/>
      <c r="U263" s="63"/>
      <c r="V263" s="64">
        <v>0</v>
      </c>
      <c r="W263" s="64"/>
      <c r="X263" s="200">
        <v>0</v>
      </c>
      <c r="Y263" s="155"/>
      <c r="Z263" s="63"/>
      <c r="AA263" s="64">
        <v>0</v>
      </c>
      <c r="AB263" s="64"/>
      <c r="AC263" s="200">
        <v>0</v>
      </c>
      <c r="AD263" s="156"/>
      <c r="AE263" s="153"/>
      <c r="AF263" s="140">
        <v>2</v>
      </c>
      <c r="AG263" s="140"/>
      <c r="AH263" s="200">
        <v>5.0000000000000001E-4</v>
      </c>
      <c r="AI263" s="140"/>
      <c r="AJ263" s="153"/>
      <c r="AK263" s="140">
        <v>1</v>
      </c>
      <c r="AL263" s="140"/>
      <c r="AM263" s="200">
        <v>2.9999999999999997E-4</v>
      </c>
      <c r="AN263" s="156"/>
      <c r="AO263" s="230">
        <v>7.9999999999999993E-4</v>
      </c>
      <c r="AP263" s="223">
        <v>1415</v>
      </c>
      <c r="AQ263" s="223">
        <v>1198</v>
      </c>
      <c r="AR263" s="235">
        <v>0.84699999999999998</v>
      </c>
      <c r="AS263" s="223">
        <v>1081</v>
      </c>
      <c r="AT263" s="235">
        <v>0.76400000000000001</v>
      </c>
      <c r="AU263" s="223">
        <v>1053</v>
      </c>
      <c r="AV263" s="232">
        <v>0.74399999999999999</v>
      </c>
      <c r="AW263" s="223">
        <v>816</v>
      </c>
      <c r="AX263" s="223">
        <v>801</v>
      </c>
      <c r="AY263" s="235">
        <v>0.98199999999999998</v>
      </c>
      <c r="AZ263" s="223">
        <v>761</v>
      </c>
      <c r="BA263" s="235">
        <v>0.93300000000000005</v>
      </c>
      <c r="BB263" s="223">
        <v>746</v>
      </c>
      <c r="BC263" s="232">
        <v>0.91400000000000003</v>
      </c>
    </row>
    <row r="264" spans="1:55" x14ac:dyDescent="0.25">
      <c r="A264" s="226">
        <v>1</v>
      </c>
      <c r="B264" s="211" t="s">
        <v>117</v>
      </c>
      <c r="C264" s="211">
        <v>863</v>
      </c>
      <c r="D264" s="211" t="s">
        <v>440</v>
      </c>
      <c r="E264" s="211">
        <v>841</v>
      </c>
      <c r="F264" s="211">
        <v>842</v>
      </c>
      <c r="G264" s="211"/>
      <c r="H264" s="220" t="str">
        <f>HYPERLINK("https://map.geo.admin.ch/?zoom=7&amp;E=604800&amp;N=181500&amp;layers=ch.kantone.cadastralwebmap-farbe,ch.swisstopo.amtliches-strassenverzeichnis,ch.bfs.gebaeude_wohnungs_register,KML||https://tinyurl.com/yy7ya4g9/BE/0863_bdg_erw.kml","KML building")</f>
        <v>KML building</v>
      </c>
      <c r="I264" s="154">
        <v>4</v>
      </c>
      <c r="J264" s="243" t="s">
        <v>1225</v>
      </c>
      <c r="K264" s="153">
        <v>4.7562425683709865E-3</v>
      </c>
      <c r="L264" s="64">
        <v>0</v>
      </c>
      <c r="M264" s="64"/>
      <c r="N264" s="200">
        <v>0</v>
      </c>
      <c r="O264" s="155"/>
      <c r="P264" s="63"/>
      <c r="Q264" s="64">
        <v>0</v>
      </c>
      <c r="R264" s="64"/>
      <c r="S264" s="200">
        <v>0</v>
      </c>
      <c r="T264" s="155"/>
      <c r="U264" s="63"/>
      <c r="V264" s="64">
        <v>0</v>
      </c>
      <c r="W264" s="64"/>
      <c r="X264" s="200">
        <v>0</v>
      </c>
      <c r="Y264" s="155"/>
      <c r="Z264" s="63"/>
      <c r="AA264" s="64">
        <v>0</v>
      </c>
      <c r="AB264" s="64"/>
      <c r="AC264" s="200">
        <v>0</v>
      </c>
      <c r="AD264" s="156"/>
      <c r="AE264" s="153"/>
      <c r="AF264" s="140">
        <v>3</v>
      </c>
      <c r="AG264" s="140"/>
      <c r="AH264" s="200">
        <v>3.5999999999999999E-3</v>
      </c>
      <c r="AI264" s="140"/>
      <c r="AJ264" s="153"/>
      <c r="AK264" s="140">
        <v>0</v>
      </c>
      <c r="AL264" s="140"/>
      <c r="AM264" s="200">
        <v>0</v>
      </c>
      <c r="AN264" s="156"/>
      <c r="AO264" s="230">
        <v>3.5999999999999999E-3</v>
      </c>
      <c r="AP264" s="223">
        <v>419</v>
      </c>
      <c r="AQ264" s="223">
        <v>361</v>
      </c>
      <c r="AR264" s="235">
        <v>0.86199999999999999</v>
      </c>
      <c r="AS264" s="223">
        <v>307</v>
      </c>
      <c r="AT264" s="235">
        <v>0.73299999999999998</v>
      </c>
      <c r="AU264" s="223">
        <v>303</v>
      </c>
      <c r="AV264" s="232">
        <v>0.72299999999999998</v>
      </c>
      <c r="AW264" s="223">
        <v>214</v>
      </c>
      <c r="AX264" s="223">
        <v>209</v>
      </c>
      <c r="AY264" s="235">
        <v>0.97699999999999998</v>
      </c>
      <c r="AZ264" s="223">
        <v>188</v>
      </c>
      <c r="BA264" s="235">
        <v>0.879</v>
      </c>
      <c r="BB264" s="223">
        <v>188</v>
      </c>
      <c r="BC264" s="232">
        <v>0.879</v>
      </c>
    </row>
    <row r="265" spans="1:55" x14ac:dyDescent="0.25">
      <c r="A265" s="226">
        <v>1</v>
      </c>
      <c r="B265" s="211" t="s">
        <v>117</v>
      </c>
      <c r="C265" s="211">
        <v>866</v>
      </c>
      <c r="D265" s="211" t="s">
        <v>441</v>
      </c>
      <c r="E265" s="211">
        <v>668</v>
      </c>
      <c r="F265" s="211">
        <v>674</v>
      </c>
      <c r="G265" s="211"/>
      <c r="H265" s="220" t="str">
        <f>HYPERLINK("https://map.geo.admin.ch/?zoom=7&amp;E=608200&amp;N=187600&amp;layers=ch.kantone.cadastralwebmap-farbe,ch.swisstopo.amtliches-strassenverzeichnis,ch.bfs.gebaeude_wohnungs_register,KML||https://tinyurl.com/yy7ya4g9/BE/0866_bdg_erw.kml","KML building")</f>
        <v>KML building</v>
      </c>
      <c r="I265" s="154">
        <v>6</v>
      </c>
      <c r="J265" s="243" t="s">
        <v>1226</v>
      </c>
      <c r="K265" s="153">
        <v>8.9820359281437123E-3</v>
      </c>
      <c r="L265" s="64">
        <v>0</v>
      </c>
      <c r="M265" s="64"/>
      <c r="N265" s="200">
        <v>0</v>
      </c>
      <c r="O265" s="155"/>
      <c r="P265" s="63"/>
      <c r="Q265" s="64">
        <v>0</v>
      </c>
      <c r="R265" s="64"/>
      <c r="S265" s="200">
        <v>0</v>
      </c>
      <c r="T265" s="155"/>
      <c r="U265" s="63"/>
      <c r="V265" s="64">
        <v>0</v>
      </c>
      <c r="W265" s="64"/>
      <c r="X265" s="200">
        <v>0</v>
      </c>
      <c r="Y265" s="155"/>
      <c r="Z265" s="63"/>
      <c r="AA265" s="64">
        <v>0</v>
      </c>
      <c r="AB265" s="64"/>
      <c r="AC265" s="200">
        <v>0</v>
      </c>
      <c r="AD265" s="156"/>
      <c r="AE265" s="153"/>
      <c r="AF265" s="140">
        <v>7</v>
      </c>
      <c r="AG265" s="140"/>
      <c r="AH265" s="200">
        <v>1.0500000000000001E-2</v>
      </c>
      <c r="AI265" s="140"/>
      <c r="AJ265" s="153"/>
      <c r="AK265" s="140">
        <v>0</v>
      </c>
      <c r="AL265" s="140"/>
      <c r="AM265" s="200">
        <v>0</v>
      </c>
      <c r="AN265" s="156"/>
      <c r="AO265" s="230">
        <v>1.0500000000000001E-2</v>
      </c>
      <c r="AP265" s="223">
        <v>270</v>
      </c>
      <c r="AQ265" s="223">
        <v>234</v>
      </c>
      <c r="AR265" s="235">
        <v>0.86699999999999999</v>
      </c>
      <c r="AS265" s="223">
        <v>190</v>
      </c>
      <c r="AT265" s="235">
        <v>0.70399999999999996</v>
      </c>
      <c r="AU265" s="223">
        <v>190</v>
      </c>
      <c r="AV265" s="232">
        <v>0.70399999999999996</v>
      </c>
      <c r="AW265" s="223">
        <v>146</v>
      </c>
      <c r="AX265" s="223">
        <v>144</v>
      </c>
      <c r="AY265" s="235">
        <v>0.98599999999999999</v>
      </c>
      <c r="AZ265" s="223">
        <v>130</v>
      </c>
      <c r="BA265" s="235">
        <v>0.89</v>
      </c>
      <c r="BB265" s="223">
        <v>130</v>
      </c>
      <c r="BC265" s="232">
        <v>0.89</v>
      </c>
    </row>
    <row r="266" spans="1:55" x14ac:dyDescent="0.25">
      <c r="A266" s="226">
        <v>1</v>
      </c>
      <c r="B266" s="211" t="s">
        <v>117</v>
      </c>
      <c r="C266" s="211">
        <v>867</v>
      </c>
      <c r="D266" s="211" t="s">
        <v>442</v>
      </c>
      <c r="E266" s="211">
        <v>531</v>
      </c>
      <c r="F266" s="211">
        <v>535</v>
      </c>
      <c r="G266" s="211"/>
      <c r="H266" s="220" t="str">
        <f>HYPERLINK("https://map.geo.admin.ch/?zoom=7&amp;E=607200&amp;N=181000&amp;layers=ch.kantone.cadastralwebmap-farbe,ch.swisstopo.amtliches-strassenverzeichnis,ch.bfs.gebaeude_wohnungs_register,KML||https://tinyurl.com/yy7ya4g9/BE/0867_bdg_erw.kml","KML building")</f>
        <v>KML building</v>
      </c>
      <c r="I266" s="154">
        <v>0</v>
      </c>
      <c r="J266" s="243" t="s">
        <v>1227</v>
      </c>
      <c r="K266" s="153">
        <v>0</v>
      </c>
      <c r="L266" s="64">
        <v>0</v>
      </c>
      <c r="M266" s="64"/>
      <c r="N266" s="200">
        <v>0</v>
      </c>
      <c r="O266" s="155"/>
      <c r="P266" s="63"/>
      <c r="Q266" s="64">
        <v>0</v>
      </c>
      <c r="R266" s="64"/>
      <c r="S266" s="200">
        <v>0</v>
      </c>
      <c r="T266" s="155"/>
      <c r="U266" s="63"/>
      <c r="V266" s="64">
        <v>0</v>
      </c>
      <c r="W266" s="64"/>
      <c r="X266" s="200">
        <v>0</v>
      </c>
      <c r="Y266" s="155"/>
      <c r="Z266" s="63"/>
      <c r="AA266" s="64">
        <v>4</v>
      </c>
      <c r="AB266" s="64"/>
      <c r="AC266" s="200">
        <v>7.4999999999999997E-3</v>
      </c>
      <c r="AD266" s="156"/>
      <c r="AE266" s="153"/>
      <c r="AF266" s="140">
        <v>1</v>
      </c>
      <c r="AG266" s="140"/>
      <c r="AH266" s="200">
        <v>1.9E-3</v>
      </c>
      <c r="AI266" s="140"/>
      <c r="AJ266" s="153"/>
      <c r="AK266" s="140">
        <v>2</v>
      </c>
      <c r="AL266" s="140"/>
      <c r="AM266" s="200">
        <v>3.8E-3</v>
      </c>
      <c r="AN266" s="156"/>
      <c r="AO266" s="230">
        <v>1.32E-2</v>
      </c>
      <c r="AP266" s="223">
        <v>235</v>
      </c>
      <c r="AQ266" s="223">
        <v>186</v>
      </c>
      <c r="AR266" s="235">
        <v>0.79100000000000004</v>
      </c>
      <c r="AS266" s="223">
        <v>175</v>
      </c>
      <c r="AT266" s="235">
        <v>0.745</v>
      </c>
      <c r="AU266" s="223">
        <v>170</v>
      </c>
      <c r="AV266" s="232">
        <v>0.72299999999999998</v>
      </c>
      <c r="AW266" s="223">
        <v>135</v>
      </c>
      <c r="AX266" s="223">
        <v>128</v>
      </c>
      <c r="AY266" s="235">
        <v>0.94799999999999995</v>
      </c>
      <c r="AZ266" s="223">
        <v>123</v>
      </c>
      <c r="BA266" s="235">
        <v>0.91100000000000003</v>
      </c>
      <c r="BB266" s="223">
        <v>122</v>
      </c>
      <c r="BC266" s="232">
        <v>0.90400000000000003</v>
      </c>
    </row>
    <row r="267" spans="1:55" x14ac:dyDescent="0.25">
      <c r="A267" s="226">
        <v>1</v>
      </c>
      <c r="B267" s="211" t="s">
        <v>117</v>
      </c>
      <c r="C267" s="211">
        <v>868</v>
      </c>
      <c r="D267" s="211" t="s">
        <v>443</v>
      </c>
      <c r="E267" s="211">
        <v>198</v>
      </c>
      <c r="F267" s="211">
        <v>199</v>
      </c>
      <c r="G267" s="211"/>
      <c r="H267" s="220" t="str">
        <f>HYPERLINK("https://map.geo.admin.ch/?zoom=7&amp;E=610000&amp;N=185100&amp;layers=ch.kantone.cadastralwebmap-farbe,ch.swisstopo.amtliches-strassenverzeichnis,ch.bfs.gebaeude_wohnungs_register,KML||https://tinyurl.com/yy7ya4g9/BE/0868_bdg_erw.kml","KML building")</f>
        <v>KML building</v>
      </c>
      <c r="I267" s="154">
        <v>0</v>
      </c>
      <c r="J267" s="243" t="s">
        <v>1228</v>
      </c>
      <c r="K267" s="153">
        <v>0</v>
      </c>
      <c r="L267" s="64">
        <v>0</v>
      </c>
      <c r="M267" s="64"/>
      <c r="N267" s="200">
        <v>0</v>
      </c>
      <c r="O267" s="155"/>
      <c r="P267" s="63"/>
      <c r="Q267" s="64">
        <v>0</v>
      </c>
      <c r="R267" s="64"/>
      <c r="S267" s="200">
        <v>0</v>
      </c>
      <c r="T267" s="155"/>
      <c r="U267" s="63"/>
      <c r="V267" s="64">
        <v>0</v>
      </c>
      <c r="W267" s="64"/>
      <c r="X267" s="200">
        <v>0</v>
      </c>
      <c r="Y267" s="155"/>
      <c r="Z267" s="63"/>
      <c r="AA267" s="64">
        <v>0</v>
      </c>
      <c r="AB267" s="64"/>
      <c r="AC267" s="200">
        <v>0</v>
      </c>
      <c r="AD267" s="156"/>
      <c r="AE267" s="153"/>
      <c r="AF267" s="140">
        <v>1</v>
      </c>
      <c r="AG267" s="140"/>
      <c r="AH267" s="200">
        <v>5.1000000000000004E-3</v>
      </c>
      <c r="AI267" s="140"/>
      <c r="AJ267" s="153"/>
      <c r="AK267" s="140">
        <v>0</v>
      </c>
      <c r="AL267" s="140"/>
      <c r="AM267" s="200">
        <v>0</v>
      </c>
      <c r="AN267" s="156"/>
      <c r="AO267" s="230">
        <v>5.1000000000000004E-3</v>
      </c>
      <c r="AP267" s="223">
        <v>91</v>
      </c>
      <c r="AQ267" s="223">
        <v>85</v>
      </c>
      <c r="AR267" s="235">
        <v>0.93400000000000005</v>
      </c>
      <c r="AS267" s="223">
        <v>74</v>
      </c>
      <c r="AT267" s="235">
        <v>0.81299999999999994</v>
      </c>
      <c r="AU267" s="223">
        <v>73</v>
      </c>
      <c r="AV267" s="232">
        <v>0.80200000000000005</v>
      </c>
      <c r="AW267" s="223">
        <v>53</v>
      </c>
      <c r="AX267" s="223">
        <v>51</v>
      </c>
      <c r="AY267" s="235">
        <v>0.96199999999999997</v>
      </c>
      <c r="AZ267" s="223">
        <v>48</v>
      </c>
      <c r="BA267" s="235">
        <v>0.90600000000000003</v>
      </c>
      <c r="BB267" s="223">
        <v>47</v>
      </c>
      <c r="BC267" s="232">
        <v>0.88700000000000001</v>
      </c>
    </row>
    <row r="268" spans="1:55" x14ac:dyDescent="0.25">
      <c r="A268" s="226">
        <v>1</v>
      </c>
      <c r="B268" s="211" t="s">
        <v>117</v>
      </c>
      <c r="C268" s="211">
        <v>869</v>
      </c>
      <c r="D268" s="211" t="s">
        <v>444</v>
      </c>
      <c r="E268" s="211">
        <v>627</v>
      </c>
      <c r="F268" s="211">
        <v>628</v>
      </c>
      <c r="G268" s="211"/>
      <c r="H268" s="220" t="str">
        <f>HYPERLINK("https://map.geo.admin.ch/?zoom=7&amp;E=604600&amp;N=187500&amp;layers=ch.kantone.cadastralwebmap-farbe,ch.swisstopo.amtliches-strassenverzeichnis,ch.bfs.gebaeude_wohnungs_register,KML||https://tinyurl.com/yy7ya4g9/BE/0869_bdg_erw.kml","KML building")</f>
        <v>KML building</v>
      </c>
      <c r="I268" s="154">
        <v>0</v>
      </c>
      <c r="J268" s="243" t="s">
        <v>1229</v>
      </c>
      <c r="K268" s="153">
        <v>0</v>
      </c>
      <c r="L268" s="64">
        <v>0</v>
      </c>
      <c r="M268" s="64"/>
      <c r="N268" s="200">
        <v>0</v>
      </c>
      <c r="O268" s="155"/>
      <c r="P268" s="63"/>
      <c r="Q268" s="64">
        <v>0</v>
      </c>
      <c r="R268" s="64"/>
      <c r="S268" s="200">
        <v>0</v>
      </c>
      <c r="T268" s="155"/>
      <c r="U268" s="63"/>
      <c r="V268" s="64">
        <v>0</v>
      </c>
      <c r="W268" s="64"/>
      <c r="X268" s="200">
        <v>0</v>
      </c>
      <c r="Y268" s="155"/>
      <c r="Z268" s="63"/>
      <c r="AA268" s="64">
        <v>0</v>
      </c>
      <c r="AB268" s="64"/>
      <c r="AC268" s="200">
        <v>0</v>
      </c>
      <c r="AD268" s="156"/>
      <c r="AE268" s="153"/>
      <c r="AF268" s="140">
        <v>3</v>
      </c>
      <c r="AG268" s="140"/>
      <c r="AH268" s="200">
        <v>4.7999999999999996E-3</v>
      </c>
      <c r="AI268" s="140"/>
      <c r="AJ268" s="153"/>
      <c r="AK268" s="140">
        <v>2</v>
      </c>
      <c r="AL268" s="140"/>
      <c r="AM268" s="200">
        <v>3.2000000000000002E-3</v>
      </c>
      <c r="AN268" s="156"/>
      <c r="AO268" s="230">
        <v>8.0000000000000002E-3</v>
      </c>
      <c r="AP268" s="223">
        <v>253</v>
      </c>
      <c r="AQ268" s="223">
        <v>222</v>
      </c>
      <c r="AR268" s="235">
        <v>0.877</v>
      </c>
      <c r="AS268" s="223">
        <v>177</v>
      </c>
      <c r="AT268" s="235">
        <v>0.7</v>
      </c>
      <c r="AU268" s="223">
        <v>171</v>
      </c>
      <c r="AV268" s="232">
        <v>0.67600000000000005</v>
      </c>
      <c r="AW268" s="223">
        <v>97</v>
      </c>
      <c r="AX268" s="223">
        <v>93</v>
      </c>
      <c r="AY268" s="235">
        <v>0.95899999999999996</v>
      </c>
      <c r="AZ268" s="223">
        <v>85</v>
      </c>
      <c r="BA268" s="235">
        <v>0.876</v>
      </c>
      <c r="BB268" s="223">
        <v>85</v>
      </c>
      <c r="BC268" s="232">
        <v>0.876</v>
      </c>
    </row>
    <row r="269" spans="1:55" x14ac:dyDescent="0.25">
      <c r="A269" s="226">
        <v>1</v>
      </c>
      <c r="B269" s="211" t="s">
        <v>117</v>
      </c>
      <c r="C269" s="211">
        <v>870</v>
      </c>
      <c r="D269" s="211" t="s">
        <v>445</v>
      </c>
      <c r="E269" s="211">
        <v>1278</v>
      </c>
      <c r="F269" s="211">
        <v>1305</v>
      </c>
      <c r="G269" s="211"/>
      <c r="H269" s="220" t="str">
        <f>HYPERLINK("https://map.geo.admin.ch/?zoom=7&amp;E=602500&amp;N=195400&amp;layers=ch.kantone.cadastralwebmap-farbe,ch.swisstopo.amtliches-strassenverzeichnis,ch.bfs.gebaeude_wohnungs_register,KML||https://tinyurl.com/yy7ya4g9/BE/0870_bdg_erw.kml","KML building")</f>
        <v>KML building</v>
      </c>
      <c r="I269" s="154">
        <v>0</v>
      </c>
      <c r="J269" s="243" t="s">
        <v>1230</v>
      </c>
      <c r="K269" s="153">
        <v>0</v>
      </c>
      <c r="L269" s="64">
        <v>0</v>
      </c>
      <c r="M269" s="64"/>
      <c r="N269" s="200">
        <v>0</v>
      </c>
      <c r="O269" s="155"/>
      <c r="P269" s="63"/>
      <c r="Q269" s="64">
        <v>0</v>
      </c>
      <c r="R269" s="64"/>
      <c r="S269" s="200">
        <v>0</v>
      </c>
      <c r="T269" s="155"/>
      <c r="U269" s="63"/>
      <c r="V269" s="64">
        <v>0</v>
      </c>
      <c r="W269" s="64"/>
      <c r="X269" s="200">
        <v>0</v>
      </c>
      <c r="Y269" s="155"/>
      <c r="Z269" s="63"/>
      <c r="AA269" s="64">
        <v>0</v>
      </c>
      <c r="AB269" s="64"/>
      <c r="AC269" s="200">
        <v>0</v>
      </c>
      <c r="AD269" s="156"/>
      <c r="AE269" s="153"/>
      <c r="AF269" s="140">
        <v>3</v>
      </c>
      <c r="AG269" s="140"/>
      <c r="AH269" s="200">
        <v>2.3E-3</v>
      </c>
      <c r="AI269" s="140"/>
      <c r="AJ269" s="153"/>
      <c r="AK269" s="140">
        <v>0</v>
      </c>
      <c r="AL269" s="140"/>
      <c r="AM269" s="200">
        <v>0</v>
      </c>
      <c r="AN269" s="156"/>
      <c r="AO269" s="230">
        <v>2.3E-3</v>
      </c>
      <c r="AP269" s="223">
        <v>401</v>
      </c>
      <c r="AQ269" s="223">
        <v>325</v>
      </c>
      <c r="AR269" s="235">
        <v>0.81</v>
      </c>
      <c r="AS269" s="223">
        <v>320</v>
      </c>
      <c r="AT269" s="235">
        <v>0.79800000000000004</v>
      </c>
      <c r="AU269" s="223">
        <v>306</v>
      </c>
      <c r="AV269" s="232">
        <v>0.76300000000000001</v>
      </c>
      <c r="AW269" s="223">
        <v>205</v>
      </c>
      <c r="AX269" s="223">
        <v>193</v>
      </c>
      <c r="AY269" s="235">
        <v>0.94099999999999995</v>
      </c>
      <c r="AZ269" s="223">
        <v>190</v>
      </c>
      <c r="BA269" s="235">
        <v>0.92700000000000005</v>
      </c>
      <c r="BB269" s="223">
        <v>184</v>
      </c>
      <c r="BC269" s="232">
        <v>0.89800000000000002</v>
      </c>
    </row>
    <row r="270" spans="1:55" x14ac:dyDescent="0.25">
      <c r="A270" s="226">
        <v>1</v>
      </c>
      <c r="B270" s="211" t="s">
        <v>117</v>
      </c>
      <c r="C270" s="211">
        <v>872</v>
      </c>
      <c r="D270" s="211" t="s">
        <v>446</v>
      </c>
      <c r="E270" s="211">
        <v>1182</v>
      </c>
      <c r="F270" s="211">
        <v>1186</v>
      </c>
      <c r="G270" s="211"/>
      <c r="H270" s="220" t="str">
        <f>HYPERLINK("https://map.geo.admin.ch/?zoom=7&amp;E=608500&amp;N=185500&amp;layers=ch.kantone.cadastralwebmap-farbe,ch.swisstopo.amtliches-strassenverzeichnis,ch.bfs.gebaeude_wohnungs_register,KML||https://tinyurl.com/yy7ya4g9/BE/0872_bdg_erw.kml","KML building")</f>
        <v>KML building</v>
      </c>
      <c r="I270" s="154">
        <v>0</v>
      </c>
      <c r="J270" s="243" t="s">
        <v>1231</v>
      </c>
      <c r="K270" s="153">
        <v>0</v>
      </c>
      <c r="L270" s="64">
        <v>0</v>
      </c>
      <c r="M270" s="64"/>
      <c r="N270" s="200">
        <v>0</v>
      </c>
      <c r="O270" s="155"/>
      <c r="P270" s="63"/>
      <c r="Q270" s="64">
        <v>0</v>
      </c>
      <c r="R270" s="64"/>
      <c r="S270" s="200">
        <v>0</v>
      </c>
      <c r="T270" s="155"/>
      <c r="U270" s="63"/>
      <c r="V270" s="64">
        <v>0</v>
      </c>
      <c r="W270" s="64"/>
      <c r="X270" s="200">
        <v>0</v>
      </c>
      <c r="Y270" s="155"/>
      <c r="Z270" s="63"/>
      <c r="AA270" s="64">
        <v>0</v>
      </c>
      <c r="AB270" s="64"/>
      <c r="AC270" s="200">
        <v>0</v>
      </c>
      <c r="AD270" s="156"/>
      <c r="AE270" s="153"/>
      <c r="AF270" s="140">
        <v>15</v>
      </c>
      <c r="AG270" s="140"/>
      <c r="AH270" s="200">
        <v>1.2699999999999999E-2</v>
      </c>
      <c r="AI270" s="140"/>
      <c r="AJ270" s="153"/>
      <c r="AK270" s="140">
        <v>1</v>
      </c>
      <c r="AL270" s="140"/>
      <c r="AM270" s="200">
        <v>8.0000000000000004E-4</v>
      </c>
      <c r="AN270" s="156"/>
      <c r="AO270" s="230">
        <v>1.35E-2</v>
      </c>
      <c r="AP270" s="223">
        <v>566</v>
      </c>
      <c r="AQ270" s="223">
        <v>479</v>
      </c>
      <c r="AR270" s="235">
        <v>0.84599999999999997</v>
      </c>
      <c r="AS270" s="223">
        <v>466</v>
      </c>
      <c r="AT270" s="235">
        <v>0.82299999999999995</v>
      </c>
      <c r="AU270" s="223">
        <v>452</v>
      </c>
      <c r="AV270" s="232">
        <v>0.79900000000000004</v>
      </c>
      <c r="AW270" s="223">
        <v>357</v>
      </c>
      <c r="AX270" s="223">
        <v>350</v>
      </c>
      <c r="AY270" s="235">
        <v>0.98</v>
      </c>
      <c r="AZ270" s="223">
        <v>341</v>
      </c>
      <c r="BA270" s="235">
        <v>0.95499999999999996</v>
      </c>
      <c r="BB270" s="223">
        <v>340</v>
      </c>
      <c r="BC270" s="232">
        <v>0.95199999999999996</v>
      </c>
    </row>
    <row r="271" spans="1:55" x14ac:dyDescent="0.25">
      <c r="A271" s="226">
        <v>1</v>
      </c>
      <c r="B271" s="211" t="s">
        <v>117</v>
      </c>
      <c r="C271" s="211">
        <v>877</v>
      </c>
      <c r="D271" s="211" t="s">
        <v>447</v>
      </c>
      <c r="E271" s="211">
        <v>416</v>
      </c>
      <c r="F271" s="211">
        <v>417</v>
      </c>
      <c r="G271" s="211"/>
      <c r="H271" s="220" t="str">
        <f>HYPERLINK("https://map.geo.admin.ch/?zoom=7&amp;E=602100&amp;N=190000&amp;layers=ch.kantone.cadastralwebmap-farbe,ch.swisstopo.amtliches-strassenverzeichnis,ch.bfs.gebaeude_wohnungs_register,KML||https://tinyurl.com/yy7ya4g9/BE/0877_bdg_erw.kml","KML building")</f>
        <v>KML building</v>
      </c>
      <c r="I271" s="154">
        <v>0</v>
      </c>
      <c r="J271" s="243" t="s">
        <v>1232</v>
      </c>
      <c r="K271" s="153">
        <v>0</v>
      </c>
      <c r="L271" s="64">
        <v>0</v>
      </c>
      <c r="M271" s="64"/>
      <c r="N271" s="200">
        <v>0</v>
      </c>
      <c r="O271" s="155"/>
      <c r="P271" s="63"/>
      <c r="Q271" s="64">
        <v>0</v>
      </c>
      <c r="R271" s="64"/>
      <c r="S271" s="200">
        <v>0</v>
      </c>
      <c r="T271" s="155"/>
      <c r="U271" s="63"/>
      <c r="V271" s="64">
        <v>0</v>
      </c>
      <c r="W271" s="64"/>
      <c r="X271" s="200">
        <v>0</v>
      </c>
      <c r="Y271" s="155"/>
      <c r="Z271" s="63"/>
      <c r="AA271" s="64">
        <v>0</v>
      </c>
      <c r="AB271" s="64"/>
      <c r="AC271" s="200">
        <v>0</v>
      </c>
      <c r="AD271" s="156"/>
      <c r="AE271" s="153"/>
      <c r="AF271" s="140">
        <v>36</v>
      </c>
      <c r="AG271" s="140"/>
      <c r="AH271" s="200">
        <v>8.6499999999999994E-2</v>
      </c>
      <c r="AI271" s="140"/>
      <c r="AJ271" s="153"/>
      <c r="AK271" s="140">
        <v>6</v>
      </c>
      <c r="AL271" s="140"/>
      <c r="AM271" s="200">
        <v>1.44E-2</v>
      </c>
      <c r="AN271" s="156"/>
      <c r="AO271" s="230">
        <v>0.10089999999999999</v>
      </c>
      <c r="AP271" s="223">
        <v>229</v>
      </c>
      <c r="AQ271" s="223">
        <v>179</v>
      </c>
      <c r="AR271" s="235">
        <v>0.78200000000000003</v>
      </c>
      <c r="AS271" s="223">
        <v>180</v>
      </c>
      <c r="AT271" s="235">
        <v>0.78600000000000003</v>
      </c>
      <c r="AU271" s="223">
        <v>169</v>
      </c>
      <c r="AV271" s="232">
        <v>0.73799999999999999</v>
      </c>
      <c r="AW271" s="223">
        <v>143</v>
      </c>
      <c r="AX271" s="223">
        <v>130</v>
      </c>
      <c r="AY271" s="235">
        <v>0.90900000000000003</v>
      </c>
      <c r="AZ271" s="223">
        <v>125</v>
      </c>
      <c r="BA271" s="235">
        <v>0.874</v>
      </c>
      <c r="BB271" s="223">
        <v>122</v>
      </c>
      <c r="BC271" s="232">
        <v>0.85299999999999998</v>
      </c>
    </row>
    <row r="272" spans="1:55" x14ac:dyDescent="0.25">
      <c r="A272" s="226">
        <v>1</v>
      </c>
      <c r="B272" s="211" t="s">
        <v>117</v>
      </c>
      <c r="C272" s="211">
        <v>879</v>
      </c>
      <c r="D272" s="211" t="s">
        <v>448</v>
      </c>
      <c r="E272" s="211">
        <v>2015</v>
      </c>
      <c r="F272" s="211">
        <v>2025</v>
      </c>
      <c r="G272" s="211"/>
      <c r="H272" s="220" t="str">
        <f>HYPERLINK("https://map.geo.admin.ch/?zoom=7&amp;E=603000&amp;N=184300&amp;layers=ch.kantone.cadastralwebmap-farbe,ch.swisstopo.amtliches-strassenverzeichnis,ch.bfs.gebaeude_wohnungs_register,KML||https://tinyurl.com/yy7ya4g9/BE/0879_bdg_erw.kml","KML building")</f>
        <v>KML building</v>
      </c>
      <c r="I272" s="154">
        <v>1</v>
      </c>
      <c r="J272" s="243" t="s">
        <v>1233</v>
      </c>
      <c r="K272" s="153">
        <v>4.9627791563275434E-4</v>
      </c>
      <c r="L272" s="64">
        <v>0</v>
      </c>
      <c r="M272" s="64"/>
      <c r="N272" s="200">
        <v>0</v>
      </c>
      <c r="O272" s="155"/>
      <c r="P272" s="63"/>
      <c r="Q272" s="64">
        <v>0</v>
      </c>
      <c r="R272" s="64"/>
      <c r="S272" s="200">
        <v>0</v>
      </c>
      <c r="T272" s="155"/>
      <c r="U272" s="63"/>
      <c r="V272" s="64">
        <v>0</v>
      </c>
      <c r="W272" s="64"/>
      <c r="X272" s="200">
        <v>0</v>
      </c>
      <c r="Y272" s="155"/>
      <c r="Z272" s="63"/>
      <c r="AA272" s="64">
        <v>4</v>
      </c>
      <c r="AB272" s="64"/>
      <c r="AC272" s="200">
        <v>2E-3</v>
      </c>
      <c r="AD272" s="156"/>
      <c r="AE272" s="153"/>
      <c r="AF272" s="140">
        <v>11</v>
      </c>
      <c r="AG272" s="140"/>
      <c r="AH272" s="200">
        <v>5.4999999999999997E-3</v>
      </c>
      <c r="AI272" s="140"/>
      <c r="AJ272" s="153"/>
      <c r="AK272" s="140">
        <v>1</v>
      </c>
      <c r="AL272" s="140"/>
      <c r="AM272" s="200">
        <v>5.0000000000000001E-4</v>
      </c>
      <c r="AN272" s="156"/>
      <c r="AO272" s="230">
        <v>8.0000000000000002E-3</v>
      </c>
      <c r="AP272" s="223">
        <v>1031</v>
      </c>
      <c r="AQ272" s="223">
        <v>825</v>
      </c>
      <c r="AR272" s="235">
        <v>0.8</v>
      </c>
      <c r="AS272" s="223">
        <v>806</v>
      </c>
      <c r="AT272" s="235">
        <v>0.78200000000000003</v>
      </c>
      <c r="AU272" s="223">
        <v>776</v>
      </c>
      <c r="AV272" s="232">
        <v>0.753</v>
      </c>
      <c r="AW272" s="223">
        <v>582</v>
      </c>
      <c r="AX272" s="223">
        <v>556</v>
      </c>
      <c r="AY272" s="235">
        <v>0.95499999999999996</v>
      </c>
      <c r="AZ272" s="223">
        <v>537</v>
      </c>
      <c r="BA272" s="235">
        <v>0.92300000000000004</v>
      </c>
      <c r="BB272" s="223">
        <v>531</v>
      </c>
      <c r="BC272" s="232">
        <v>0.91200000000000003</v>
      </c>
    </row>
    <row r="273" spans="1:55" x14ac:dyDescent="0.25">
      <c r="A273" s="226">
        <v>1</v>
      </c>
      <c r="B273" s="211" t="s">
        <v>117</v>
      </c>
      <c r="C273" s="211">
        <v>880</v>
      </c>
      <c r="D273" s="211" t="s">
        <v>449</v>
      </c>
      <c r="E273" s="211">
        <v>1638</v>
      </c>
      <c r="F273" s="211">
        <v>1641</v>
      </c>
      <c r="G273" s="211"/>
      <c r="H273" s="220" t="str">
        <f>HYPERLINK("https://map.geo.admin.ch/?zoom=7&amp;E=600100&amp;N=185600&amp;layers=ch.kantone.cadastralwebmap-farbe,ch.swisstopo.amtliches-strassenverzeichnis,ch.bfs.gebaeude_wohnungs_register,KML||https://tinyurl.com/yy7ya4g9/BE/0880_bdg_erw.kml","KML building")</f>
        <v>KML building</v>
      </c>
      <c r="I273" s="154">
        <v>2</v>
      </c>
      <c r="J273" s="243" t="s">
        <v>1234</v>
      </c>
      <c r="K273" s="153">
        <v>1.221001221001221E-3</v>
      </c>
      <c r="L273" s="64">
        <v>0</v>
      </c>
      <c r="M273" s="64"/>
      <c r="N273" s="200">
        <v>0</v>
      </c>
      <c r="O273" s="155"/>
      <c r="P273" s="63"/>
      <c r="Q273" s="64">
        <v>0</v>
      </c>
      <c r="R273" s="64"/>
      <c r="S273" s="200">
        <v>0</v>
      </c>
      <c r="T273" s="155"/>
      <c r="U273" s="63"/>
      <c r="V273" s="64">
        <v>0</v>
      </c>
      <c r="W273" s="64"/>
      <c r="X273" s="200">
        <v>0</v>
      </c>
      <c r="Y273" s="155"/>
      <c r="Z273" s="63"/>
      <c r="AA273" s="64">
        <v>0</v>
      </c>
      <c r="AB273" s="64"/>
      <c r="AC273" s="200">
        <v>0</v>
      </c>
      <c r="AD273" s="156"/>
      <c r="AE273" s="153"/>
      <c r="AF273" s="140">
        <v>11</v>
      </c>
      <c r="AG273" s="140"/>
      <c r="AH273" s="200">
        <v>6.7000000000000002E-3</v>
      </c>
      <c r="AI273" s="140"/>
      <c r="AJ273" s="153"/>
      <c r="AK273" s="140">
        <v>0</v>
      </c>
      <c r="AL273" s="140"/>
      <c r="AM273" s="200">
        <v>0</v>
      </c>
      <c r="AN273" s="156"/>
      <c r="AO273" s="230">
        <v>6.7000000000000002E-3</v>
      </c>
      <c r="AP273" s="223">
        <v>943</v>
      </c>
      <c r="AQ273" s="223">
        <v>806</v>
      </c>
      <c r="AR273" s="235">
        <v>0.85499999999999998</v>
      </c>
      <c r="AS273" s="223">
        <v>767</v>
      </c>
      <c r="AT273" s="235">
        <v>0.81299999999999994</v>
      </c>
      <c r="AU273" s="223">
        <v>741</v>
      </c>
      <c r="AV273" s="232">
        <v>0.78600000000000003</v>
      </c>
      <c r="AW273" s="223">
        <v>556</v>
      </c>
      <c r="AX273" s="223">
        <v>546</v>
      </c>
      <c r="AY273" s="235">
        <v>0.98199999999999998</v>
      </c>
      <c r="AZ273" s="223">
        <v>516</v>
      </c>
      <c r="BA273" s="235">
        <v>0.92800000000000005</v>
      </c>
      <c r="BB273" s="223">
        <v>515</v>
      </c>
      <c r="BC273" s="232">
        <v>0.92600000000000005</v>
      </c>
    </row>
    <row r="274" spans="1:55" x14ac:dyDescent="0.25">
      <c r="A274" s="226">
        <v>1</v>
      </c>
      <c r="B274" s="211" t="s">
        <v>117</v>
      </c>
      <c r="C274" s="211">
        <v>883</v>
      </c>
      <c r="D274" s="211" t="s">
        <v>450</v>
      </c>
      <c r="E274" s="211">
        <v>953</v>
      </c>
      <c r="F274" s="211">
        <v>960</v>
      </c>
      <c r="G274" s="211"/>
      <c r="H274" s="220" t="str">
        <f>HYPERLINK("https://map.geo.admin.ch/?zoom=7&amp;E=607700&amp;N=181900&amp;layers=ch.kantone.cadastralwebmap-farbe,ch.swisstopo.amtliches-strassenverzeichnis,ch.bfs.gebaeude_wohnungs_register,KML||https://tinyurl.com/yy7ya4g9/BE/0883_bdg_erw.kml","KML building")</f>
        <v>KML building</v>
      </c>
      <c r="I274" s="154">
        <v>0</v>
      </c>
      <c r="J274" s="243" t="s">
        <v>1235</v>
      </c>
      <c r="K274" s="153">
        <v>0</v>
      </c>
      <c r="L274" s="64">
        <v>0</v>
      </c>
      <c r="M274" s="64"/>
      <c r="N274" s="200">
        <v>0</v>
      </c>
      <c r="O274" s="155"/>
      <c r="P274" s="63"/>
      <c r="Q274" s="64">
        <v>0</v>
      </c>
      <c r="R274" s="64"/>
      <c r="S274" s="200">
        <v>0</v>
      </c>
      <c r="T274" s="155"/>
      <c r="U274" s="63"/>
      <c r="V274" s="64">
        <v>0</v>
      </c>
      <c r="W274" s="64"/>
      <c r="X274" s="200">
        <v>0</v>
      </c>
      <c r="Y274" s="155"/>
      <c r="Z274" s="63"/>
      <c r="AA274" s="64">
        <v>0</v>
      </c>
      <c r="AB274" s="64"/>
      <c r="AC274" s="200">
        <v>0</v>
      </c>
      <c r="AD274" s="156"/>
      <c r="AE274" s="153"/>
      <c r="AF274" s="140">
        <v>4</v>
      </c>
      <c r="AG274" s="140"/>
      <c r="AH274" s="200">
        <v>4.1999999999999997E-3</v>
      </c>
      <c r="AI274" s="140"/>
      <c r="AJ274" s="153"/>
      <c r="AK274" s="140">
        <v>0</v>
      </c>
      <c r="AL274" s="140"/>
      <c r="AM274" s="200">
        <v>0</v>
      </c>
      <c r="AN274" s="156"/>
      <c r="AO274" s="230">
        <v>4.1999999999999997E-3</v>
      </c>
      <c r="AP274" s="223">
        <v>322</v>
      </c>
      <c r="AQ274" s="223">
        <v>258</v>
      </c>
      <c r="AR274" s="235">
        <v>0.80100000000000005</v>
      </c>
      <c r="AS274" s="223">
        <v>244</v>
      </c>
      <c r="AT274" s="235">
        <v>0.75800000000000001</v>
      </c>
      <c r="AU274" s="223">
        <v>231</v>
      </c>
      <c r="AV274" s="232">
        <v>0.71699999999999997</v>
      </c>
      <c r="AW274" s="223">
        <v>153</v>
      </c>
      <c r="AX274" s="223">
        <v>137</v>
      </c>
      <c r="AY274" s="235">
        <v>0.89500000000000002</v>
      </c>
      <c r="AZ274" s="223">
        <v>137</v>
      </c>
      <c r="BA274" s="235">
        <v>0.89500000000000002</v>
      </c>
      <c r="BB274" s="223">
        <v>131</v>
      </c>
      <c r="BC274" s="232">
        <v>0.85599999999999998</v>
      </c>
    </row>
    <row r="275" spans="1:55" x14ac:dyDescent="0.25">
      <c r="A275" s="226">
        <v>1</v>
      </c>
      <c r="B275" s="211" t="s">
        <v>117</v>
      </c>
      <c r="C275" s="211">
        <v>884</v>
      </c>
      <c r="D275" s="211" t="s">
        <v>451</v>
      </c>
      <c r="E275" s="211">
        <v>1079</v>
      </c>
      <c r="F275" s="211">
        <v>1086</v>
      </c>
      <c r="G275" s="211"/>
      <c r="H275" s="220" t="str">
        <f>HYPERLINK("https://map.geo.admin.ch/?zoom=7&amp;E=604000&amp;N=189800&amp;layers=ch.kantone.cadastralwebmap-farbe,ch.swisstopo.amtliches-strassenverzeichnis,ch.bfs.gebaeude_wohnungs_register,KML||https://tinyurl.com/yy7ya4g9/BE/0884_bdg_erw.kml","KML building")</f>
        <v>KML building</v>
      </c>
      <c r="I275" s="154">
        <v>0</v>
      </c>
      <c r="J275" s="243" t="s">
        <v>1236</v>
      </c>
      <c r="K275" s="153">
        <v>0</v>
      </c>
      <c r="L275" s="64">
        <v>0</v>
      </c>
      <c r="M275" s="64"/>
      <c r="N275" s="200">
        <v>0</v>
      </c>
      <c r="O275" s="155"/>
      <c r="P275" s="63"/>
      <c r="Q275" s="64">
        <v>0</v>
      </c>
      <c r="R275" s="64"/>
      <c r="S275" s="200">
        <v>0</v>
      </c>
      <c r="T275" s="155"/>
      <c r="U275" s="63"/>
      <c r="V275" s="64">
        <v>1</v>
      </c>
      <c r="W275" s="64"/>
      <c r="X275" s="200">
        <v>8.9999999999999998E-4</v>
      </c>
      <c r="Y275" s="155"/>
      <c r="Z275" s="63"/>
      <c r="AA275" s="64">
        <v>0</v>
      </c>
      <c r="AB275" s="64"/>
      <c r="AC275" s="200">
        <v>0</v>
      </c>
      <c r="AD275" s="156"/>
      <c r="AE275" s="153"/>
      <c r="AF275" s="140">
        <v>1</v>
      </c>
      <c r="AG275" s="140"/>
      <c r="AH275" s="200">
        <v>8.9999999999999998E-4</v>
      </c>
      <c r="AI275" s="140"/>
      <c r="AJ275" s="153"/>
      <c r="AK275" s="140">
        <v>2</v>
      </c>
      <c r="AL275" s="140"/>
      <c r="AM275" s="200">
        <v>1.9E-3</v>
      </c>
      <c r="AN275" s="156"/>
      <c r="AO275" s="230">
        <v>3.7000000000000002E-3</v>
      </c>
      <c r="AP275" s="223">
        <v>370</v>
      </c>
      <c r="AQ275" s="223">
        <v>330</v>
      </c>
      <c r="AR275" s="235">
        <v>0.89200000000000002</v>
      </c>
      <c r="AS275" s="223">
        <v>286</v>
      </c>
      <c r="AT275" s="235">
        <v>0.77300000000000002</v>
      </c>
      <c r="AU275" s="223">
        <v>285</v>
      </c>
      <c r="AV275" s="232">
        <v>0.77</v>
      </c>
      <c r="AW275" s="223">
        <v>166</v>
      </c>
      <c r="AX275" s="223">
        <v>152</v>
      </c>
      <c r="AY275" s="235">
        <v>0.91600000000000004</v>
      </c>
      <c r="AZ275" s="223">
        <v>137</v>
      </c>
      <c r="BA275" s="235">
        <v>0.82499999999999996</v>
      </c>
      <c r="BB275" s="223">
        <v>136</v>
      </c>
      <c r="BC275" s="232">
        <v>0.81899999999999995</v>
      </c>
    </row>
    <row r="276" spans="1:55" x14ac:dyDescent="0.25">
      <c r="A276" s="226">
        <v>1</v>
      </c>
      <c r="B276" s="211" t="s">
        <v>117</v>
      </c>
      <c r="C276" s="211">
        <v>885</v>
      </c>
      <c r="D276" s="211" t="s">
        <v>452</v>
      </c>
      <c r="E276" s="211">
        <v>1001</v>
      </c>
      <c r="F276" s="211">
        <v>1008</v>
      </c>
      <c r="G276" s="211"/>
      <c r="H276" s="220" t="str">
        <f>HYPERLINK("https://map.geo.admin.ch/?zoom=7&amp;E=610400&amp;N=182600&amp;layers=ch.kantone.cadastralwebmap-farbe,ch.swisstopo.amtliches-strassenverzeichnis,ch.bfs.gebaeude_wohnungs_register,KML||https://tinyurl.com/yy7ya4g9/BE/0885_bdg_erw.kml","KML building")</f>
        <v>KML building</v>
      </c>
      <c r="I276" s="154">
        <v>0</v>
      </c>
      <c r="J276" s="243" t="s">
        <v>1237</v>
      </c>
      <c r="K276" s="153">
        <v>0</v>
      </c>
      <c r="L276" s="64">
        <v>0</v>
      </c>
      <c r="M276" s="64"/>
      <c r="N276" s="200">
        <v>0</v>
      </c>
      <c r="O276" s="155"/>
      <c r="P276" s="63"/>
      <c r="Q276" s="64">
        <v>0</v>
      </c>
      <c r="R276" s="64"/>
      <c r="S276" s="200">
        <v>0</v>
      </c>
      <c r="T276" s="155"/>
      <c r="U276" s="63"/>
      <c r="V276" s="64">
        <v>0</v>
      </c>
      <c r="W276" s="64"/>
      <c r="X276" s="200">
        <v>0</v>
      </c>
      <c r="Y276" s="155"/>
      <c r="Z276" s="63"/>
      <c r="AA276" s="64">
        <v>0</v>
      </c>
      <c r="AB276" s="64"/>
      <c r="AC276" s="200">
        <v>0</v>
      </c>
      <c r="AD276" s="156"/>
      <c r="AE276" s="153"/>
      <c r="AF276" s="140">
        <v>5</v>
      </c>
      <c r="AG276" s="140"/>
      <c r="AH276" s="200">
        <v>5.0000000000000001E-3</v>
      </c>
      <c r="AI276" s="140"/>
      <c r="AJ276" s="153"/>
      <c r="AK276" s="140">
        <v>0</v>
      </c>
      <c r="AL276" s="140"/>
      <c r="AM276" s="200">
        <v>0</v>
      </c>
      <c r="AN276" s="156"/>
      <c r="AO276" s="230">
        <v>5.0000000000000001E-3</v>
      </c>
      <c r="AP276" s="223">
        <v>413</v>
      </c>
      <c r="AQ276" s="223">
        <v>390</v>
      </c>
      <c r="AR276" s="235">
        <v>0.94399999999999995</v>
      </c>
      <c r="AS276" s="223">
        <v>330</v>
      </c>
      <c r="AT276" s="235">
        <v>0.79900000000000004</v>
      </c>
      <c r="AU276" s="223">
        <v>330</v>
      </c>
      <c r="AV276" s="232">
        <v>0.79900000000000004</v>
      </c>
      <c r="AW276" s="223">
        <v>195</v>
      </c>
      <c r="AX276" s="223">
        <v>185</v>
      </c>
      <c r="AY276" s="235">
        <v>0.94899999999999995</v>
      </c>
      <c r="AZ276" s="223">
        <v>172</v>
      </c>
      <c r="BA276" s="235">
        <v>0.88200000000000001</v>
      </c>
      <c r="BB276" s="223">
        <v>172</v>
      </c>
      <c r="BC276" s="232">
        <v>0.88200000000000001</v>
      </c>
    </row>
    <row r="277" spans="1:55" x14ac:dyDescent="0.25">
      <c r="A277" s="226">
        <v>1</v>
      </c>
      <c r="B277" s="211" t="s">
        <v>117</v>
      </c>
      <c r="C277" s="211">
        <v>886</v>
      </c>
      <c r="D277" s="211" t="s">
        <v>453</v>
      </c>
      <c r="E277" s="211">
        <v>1614</v>
      </c>
      <c r="F277" s="211">
        <v>1623</v>
      </c>
      <c r="G277" s="211"/>
      <c r="H277" s="220" t="str">
        <f>HYPERLINK("https://map.geo.admin.ch/?zoom=7&amp;E=605400&amp;N=179900&amp;layers=ch.kantone.cadastralwebmap-farbe,ch.swisstopo.amtliches-strassenverzeichnis,ch.bfs.gebaeude_wohnungs_register,KML||https://tinyurl.com/yy7ya4g9/BE/0886_bdg_erw.kml","KML building")</f>
        <v>KML building</v>
      </c>
      <c r="I277" s="154">
        <v>1</v>
      </c>
      <c r="J277" s="243" t="s">
        <v>1238</v>
      </c>
      <c r="K277" s="153">
        <v>6.1957868649318464E-4</v>
      </c>
      <c r="L277" s="64">
        <v>0</v>
      </c>
      <c r="M277" s="64"/>
      <c r="N277" s="200">
        <v>0</v>
      </c>
      <c r="O277" s="155"/>
      <c r="P277" s="63"/>
      <c r="Q277" s="64">
        <v>0</v>
      </c>
      <c r="R277" s="64"/>
      <c r="S277" s="200">
        <v>0</v>
      </c>
      <c r="T277" s="155"/>
      <c r="U277" s="63"/>
      <c r="V277" s="64">
        <v>0</v>
      </c>
      <c r="W277" s="64"/>
      <c r="X277" s="200">
        <v>0</v>
      </c>
      <c r="Y277" s="155"/>
      <c r="Z277" s="63"/>
      <c r="AA277" s="64">
        <v>0</v>
      </c>
      <c r="AB277" s="64"/>
      <c r="AC277" s="200">
        <v>0</v>
      </c>
      <c r="AD277" s="156"/>
      <c r="AE277" s="153"/>
      <c r="AF277" s="140">
        <v>58</v>
      </c>
      <c r="AG277" s="140"/>
      <c r="AH277" s="200">
        <v>3.5900000000000001E-2</v>
      </c>
      <c r="AI277" s="140"/>
      <c r="AJ277" s="153"/>
      <c r="AK277" s="140">
        <v>2</v>
      </c>
      <c r="AL277" s="140"/>
      <c r="AM277" s="200">
        <v>1.1999999999999999E-3</v>
      </c>
      <c r="AN277" s="156"/>
      <c r="AO277" s="230">
        <v>3.7100000000000001E-2</v>
      </c>
      <c r="AP277" s="223">
        <v>696</v>
      </c>
      <c r="AQ277" s="223">
        <v>581</v>
      </c>
      <c r="AR277" s="235">
        <v>0.83499999999999996</v>
      </c>
      <c r="AS277" s="223">
        <v>544</v>
      </c>
      <c r="AT277" s="235">
        <v>0.78200000000000003</v>
      </c>
      <c r="AU277" s="223">
        <v>516</v>
      </c>
      <c r="AV277" s="232">
        <v>0.74099999999999999</v>
      </c>
      <c r="AW277" s="223">
        <v>361</v>
      </c>
      <c r="AX277" s="223">
        <v>342</v>
      </c>
      <c r="AY277" s="235">
        <v>0.94699999999999995</v>
      </c>
      <c r="AZ277" s="223">
        <v>330</v>
      </c>
      <c r="BA277" s="235">
        <v>0.91400000000000003</v>
      </c>
      <c r="BB277" s="223">
        <v>322</v>
      </c>
      <c r="BC277" s="232">
        <v>0.89200000000000002</v>
      </c>
    </row>
    <row r="278" spans="1:55" x14ac:dyDescent="0.25">
      <c r="A278" s="226">
        <v>1</v>
      </c>
      <c r="B278" s="211" t="s">
        <v>117</v>
      </c>
      <c r="C278" s="211">
        <v>888</v>
      </c>
      <c r="D278" s="211" t="s">
        <v>454</v>
      </c>
      <c r="E278" s="211">
        <v>943</v>
      </c>
      <c r="F278" s="211">
        <v>943</v>
      </c>
      <c r="G278" s="211"/>
      <c r="H278" s="220" t="str">
        <f>HYPERLINK("https://map.geo.admin.ch/?zoom=7&amp;E=602500&amp;N=192300&amp;layers=ch.kantone.cadastralwebmap-farbe,ch.swisstopo.amtliches-strassenverzeichnis,ch.bfs.gebaeude_wohnungs_register,KML||https://tinyurl.com/yy7ya4g9/BE/0888_bdg_erw.kml","KML building")</f>
        <v>KML building</v>
      </c>
      <c r="I278" s="154">
        <v>0</v>
      </c>
      <c r="J278" s="243" t="s">
        <v>1239</v>
      </c>
      <c r="K278" s="153">
        <v>0</v>
      </c>
      <c r="L278" s="64">
        <v>0</v>
      </c>
      <c r="M278" s="64"/>
      <c r="N278" s="200">
        <v>0</v>
      </c>
      <c r="O278" s="155"/>
      <c r="P278" s="63"/>
      <c r="Q278" s="64">
        <v>0</v>
      </c>
      <c r="R278" s="64"/>
      <c r="S278" s="200">
        <v>0</v>
      </c>
      <c r="T278" s="155"/>
      <c r="U278" s="63"/>
      <c r="V278" s="64">
        <v>0</v>
      </c>
      <c r="W278" s="64"/>
      <c r="X278" s="200">
        <v>0</v>
      </c>
      <c r="Y278" s="155"/>
      <c r="Z278" s="63"/>
      <c r="AA278" s="64">
        <v>0</v>
      </c>
      <c r="AB278" s="64"/>
      <c r="AC278" s="200">
        <v>0</v>
      </c>
      <c r="AD278" s="156"/>
      <c r="AE278" s="153"/>
      <c r="AF278" s="140">
        <v>0</v>
      </c>
      <c r="AG278" s="140"/>
      <c r="AH278" s="200">
        <v>0</v>
      </c>
      <c r="AI278" s="140"/>
      <c r="AJ278" s="153"/>
      <c r="AK278" s="140">
        <v>0</v>
      </c>
      <c r="AL278" s="140"/>
      <c r="AM278" s="200">
        <v>0</v>
      </c>
      <c r="AN278" s="156"/>
      <c r="AO278" s="230">
        <v>0</v>
      </c>
      <c r="AP278" s="223">
        <v>526</v>
      </c>
      <c r="AQ278" s="223">
        <v>486</v>
      </c>
      <c r="AR278" s="235">
        <v>0.92400000000000004</v>
      </c>
      <c r="AS278" s="223">
        <v>421</v>
      </c>
      <c r="AT278" s="235">
        <v>0.8</v>
      </c>
      <c r="AU278" s="223">
        <v>416</v>
      </c>
      <c r="AV278" s="232">
        <v>0.79100000000000004</v>
      </c>
      <c r="AW278" s="223">
        <v>289</v>
      </c>
      <c r="AX278" s="223">
        <v>284</v>
      </c>
      <c r="AY278" s="235">
        <v>0.98299999999999998</v>
      </c>
      <c r="AZ278" s="223">
        <v>263</v>
      </c>
      <c r="BA278" s="235">
        <v>0.91</v>
      </c>
      <c r="BB278" s="223">
        <v>259</v>
      </c>
      <c r="BC278" s="232">
        <v>0.89600000000000002</v>
      </c>
    </row>
    <row r="279" spans="1:55" x14ac:dyDescent="0.25">
      <c r="A279" s="226">
        <v>1</v>
      </c>
      <c r="B279" s="211" t="s">
        <v>117</v>
      </c>
      <c r="C279" s="211">
        <v>889</v>
      </c>
      <c r="D279" s="211" t="s">
        <v>455</v>
      </c>
      <c r="E279" s="211">
        <v>1003</v>
      </c>
      <c r="F279" s="211">
        <v>1007</v>
      </c>
      <c r="G279" s="211"/>
      <c r="H279" s="220" t="str">
        <f>HYPERLINK("https://map.geo.admin.ch/?zoom=7&amp;E=605300&amp;N=184700&amp;layers=ch.kantone.cadastralwebmap-farbe,ch.swisstopo.amtliches-strassenverzeichnis,ch.bfs.gebaeude_wohnungs_register,KML||https://tinyurl.com/yy7ya4g9/BE/0889_bdg_erw.kml","KML building")</f>
        <v>KML building</v>
      </c>
      <c r="I279" s="154">
        <v>0</v>
      </c>
      <c r="J279" s="243" t="s">
        <v>1240</v>
      </c>
      <c r="K279" s="153">
        <v>0</v>
      </c>
      <c r="L279" s="64">
        <v>0</v>
      </c>
      <c r="M279" s="64"/>
      <c r="N279" s="200">
        <v>0</v>
      </c>
      <c r="O279" s="155"/>
      <c r="P279" s="63"/>
      <c r="Q279" s="64">
        <v>0</v>
      </c>
      <c r="R279" s="64"/>
      <c r="S279" s="200">
        <v>0</v>
      </c>
      <c r="T279" s="155"/>
      <c r="U279" s="63"/>
      <c r="V279" s="64">
        <v>0</v>
      </c>
      <c r="W279" s="64"/>
      <c r="X279" s="200">
        <v>0</v>
      </c>
      <c r="Y279" s="155"/>
      <c r="Z279" s="63"/>
      <c r="AA279" s="64">
        <v>0</v>
      </c>
      <c r="AB279" s="64"/>
      <c r="AC279" s="200">
        <v>0</v>
      </c>
      <c r="AD279" s="156"/>
      <c r="AE279" s="153"/>
      <c r="AF279" s="140">
        <v>7</v>
      </c>
      <c r="AG279" s="140"/>
      <c r="AH279" s="200">
        <v>7.0000000000000001E-3</v>
      </c>
      <c r="AI279" s="140"/>
      <c r="AJ279" s="153"/>
      <c r="AK279" s="140">
        <v>1</v>
      </c>
      <c r="AL279" s="140"/>
      <c r="AM279" s="200">
        <v>1E-3</v>
      </c>
      <c r="AN279" s="156"/>
      <c r="AO279" s="230">
        <v>8.0000000000000002E-3</v>
      </c>
      <c r="AP279" s="223">
        <v>411</v>
      </c>
      <c r="AQ279" s="223">
        <v>375</v>
      </c>
      <c r="AR279" s="235">
        <v>0.91200000000000003</v>
      </c>
      <c r="AS279" s="223">
        <v>333</v>
      </c>
      <c r="AT279" s="235">
        <v>0.81</v>
      </c>
      <c r="AU279" s="223">
        <v>332</v>
      </c>
      <c r="AV279" s="232">
        <v>0.80800000000000005</v>
      </c>
      <c r="AW279" s="223">
        <v>232</v>
      </c>
      <c r="AX279" s="223">
        <v>231</v>
      </c>
      <c r="AY279" s="235">
        <v>0.996</v>
      </c>
      <c r="AZ279" s="223">
        <v>230</v>
      </c>
      <c r="BA279" s="235">
        <v>0.99099999999999999</v>
      </c>
      <c r="BB279" s="223">
        <v>229</v>
      </c>
      <c r="BC279" s="232">
        <v>0.98699999999999999</v>
      </c>
    </row>
    <row r="280" spans="1:55" x14ac:dyDescent="0.25">
      <c r="A280" s="226">
        <v>1</v>
      </c>
      <c r="B280" s="211" t="s">
        <v>117</v>
      </c>
      <c r="C280" s="211">
        <v>901</v>
      </c>
      <c r="D280" s="211" t="s">
        <v>456</v>
      </c>
      <c r="E280" s="211">
        <v>2175</v>
      </c>
      <c r="F280" s="211">
        <v>2181</v>
      </c>
      <c r="G280" s="211"/>
      <c r="H280" s="220" t="str">
        <f>HYPERLINK("https://map.geo.admin.ch/?zoom=7&amp;E=627300&amp;N=191600&amp;layers=ch.kantone.cadastralwebmap-farbe,ch.swisstopo.amtliches-strassenverzeichnis,ch.bfs.gebaeude_wohnungs_register,KML||https://tinyurl.com/yy7ya4g9/BE/0901_bdg_erw.kml","KML building")</f>
        <v>KML building</v>
      </c>
      <c r="I280" s="154">
        <v>4</v>
      </c>
      <c r="J280" s="243" t="s">
        <v>1241</v>
      </c>
      <c r="K280" s="153">
        <v>1.8390804597701149E-3</v>
      </c>
      <c r="L280" s="64">
        <v>0</v>
      </c>
      <c r="M280" s="64"/>
      <c r="N280" s="200">
        <v>0</v>
      </c>
      <c r="O280" s="155"/>
      <c r="P280" s="63"/>
      <c r="Q280" s="64">
        <v>0</v>
      </c>
      <c r="R280" s="64"/>
      <c r="S280" s="200">
        <v>0</v>
      </c>
      <c r="T280" s="155"/>
      <c r="U280" s="63"/>
      <c r="V280" s="64">
        <v>0</v>
      </c>
      <c r="W280" s="64"/>
      <c r="X280" s="200">
        <v>0</v>
      </c>
      <c r="Y280" s="155"/>
      <c r="Z280" s="63"/>
      <c r="AA280" s="64">
        <v>2</v>
      </c>
      <c r="AB280" s="64"/>
      <c r="AC280" s="200">
        <v>8.9999999999999998E-4</v>
      </c>
      <c r="AD280" s="156"/>
      <c r="AE280" s="153"/>
      <c r="AF280" s="140">
        <v>0</v>
      </c>
      <c r="AG280" s="140"/>
      <c r="AH280" s="200">
        <v>0</v>
      </c>
      <c r="AI280" s="140"/>
      <c r="AJ280" s="153"/>
      <c r="AK280" s="140">
        <v>2</v>
      </c>
      <c r="AL280" s="140"/>
      <c r="AM280" s="200">
        <v>8.9999999999999998E-4</v>
      </c>
      <c r="AN280" s="156"/>
      <c r="AO280" s="230">
        <v>1.8E-3</v>
      </c>
      <c r="AP280" s="223">
        <v>1189</v>
      </c>
      <c r="AQ280" s="223">
        <v>968</v>
      </c>
      <c r="AR280" s="235">
        <v>0.81399999999999995</v>
      </c>
      <c r="AS280" s="223">
        <v>841</v>
      </c>
      <c r="AT280" s="235">
        <v>0.70699999999999996</v>
      </c>
      <c r="AU280" s="223">
        <v>830</v>
      </c>
      <c r="AV280" s="232">
        <v>0.69799999999999995</v>
      </c>
      <c r="AW280" s="223">
        <v>709</v>
      </c>
      <c r="AX280" s="223">
        <v>695</v>
      </c>
      <c r="AY280" s="235">
        <v>0.98</v>
      </c>
      <c r="AZ280" s="223">
        <v>659</v>
      </c>
      <c r="BA280" s="235">
        <v>0.92900000000000005</v>
      </c>
      <c r="BB280" s="223">
        <v>655</v>
      </c>
      <c r="BC280" s="232">
        <v>0.92400000000000004</v>
      </c>
    </row>
    <row r="281" spans="1:55" x14ac:dyDescent="0.25">
      <c r="A281" s="226">
        <v>1</v>
      </c>
      <c r="B281" s="211" t="s">
        <v>117</v>
      </c>
      <c r="C281" s="211">
        <v>902</v>
      </c>
      <c r="D281" s="211" t="s">
        <v>457</v>
      </c>
      <c r="E281" s="211">
        <v>4327</v>
      </c>
      <c r="F281" s="211">
        <v>4339</v>
      </c>
      <c r="G281" s="211"/>
      <c r="H281" s="220" t="str">
        <f>HYPERLINK("https://map.geo.admin.ch/?zoom=7&amp;E=626400&amp;N=198900&amp;layers=ch.kantone.cadastralwebmap-farbe,ch.swisstopo.amtliches-strassenverzeichnis,ch.bfs.gebaeude_wohnungs_register,KML||https://tinyurl.com/yy7ya4g9/BE/0902_bdg_erw.kml","KML building")</f>
        <v>KML building</v>
      </c>
      <c r="I281" s="154">
        <v>4</v>
      </c>
      <c r="J281" s="243" t="s">
        <v>1242</v>
      </c>
      <c r="K281" s="153">
        <v>9.2442801016870814E-4</v>
      </c>
      <c r="L281" s="64">
        <v>0</v>
      </c>
      <c r="M281" s="64"/>
      <c r="N281" s="200">
        <v>0</v>
      </c>
      <c r="O281" s="155"/>
      <c r="P281" s="63"/>
      <c r="Q281" s="64">
        <v>0</v>
      </c>
      <c r="R281" s="64"/>
      <c r="S281" s="200">
        <v>0</v>
      </c>
      <c r="T281" s="155"/>
      <c r="U281" s="63"/>
      <c r="V281" s="64">
        <v>0</v>
      </c>
      <c r="W281" s="64"/>
      <c r="X281" s="200">
        <v>0</v>
      </c>
      <c r="Y281" s="155"/>
      <c r="Z281" s="63"/>
      <c r="AA281" s="64">
        <v>2</v>
      </c>
      <c r="AB281" s="64"/>
      <c r="AC281" s="200">
        <v>5.0000000000000001E-4</v>
      </c>
      <c r="AD281" s="156"/>
      <c r="AE281" s="153"/>
      <c r="AF281" s="140">
        <v>10</v>
      </c>
      <c r="AG281" s="140"/>
      <c r="AH281" s="200">
        <v>2.3E-3</v>
      </c>
      <c r="AI281" s="140"/>
      <c r="AJ281" s="153"/>
      <c r="AK281" s="140">
        <v>2</v>
      </c>
      <c r="AL281" s="140"/>
      <c r="AM281" s="200">
        <v>5.0000000000000001E-4</v>
      </c>
      <c r="AN281" s="156"/>
      <c r="AO281" s="230">
        <v>3.3E-3</v>
      </c>
      <c r="AP281" s="223">
        <v>1996</v>
      </c>
      <c r="AQ281" s="223">
        <v>1617</v>
      </c>
      <c r="AR281" s="235">
        <v>0.81</v>
      </c>
      <c r="AS281" s="223">
        <v>1472</v>
      </c>
      <c r="AT281" s="235">
        <v>0.73699999999999999</v>
      </c>
      <c r="AU281" s="223">
        <v>1426</v>
      </c>
      <c r="AV281" s="232">
        <v>0.71399999999999997</v>
      </c>
      <c r="AW281" s="223">
        <v>1205</v>
      </c>
      <c r="AX281" s="223">
        <v>1165</v>
      </c>
      <c r="AY281" s="235">
        <v>0.96699999999999997</v>
      </c>
      <c r="AZ281" s="223">
        <v>1046</v>
      </c>
      <c r="BA281" s="235">
        <v>0.86799999999999999</v>
      </c>
      <c r="BB281" s="223">
        <v>1043</v>
      </c>
      <c r="BC281" s="232">
        <v>0.86599999999999999</v>
      </c>
    </row>
    <row r="282" spans="1:55" x14ac:dyDescent="0.25">
      <c r="A282" s="226">
        <v>1</v>
      </c>
      <c r="B282" s="211" t="s">
        <v>117</v>
      </c>
      <c r="C282" s="211">
        <v>903</v>
      </c>
      <c r="D282" s="211" t="s">
        <v>458</v>
      </c>
      <c r="E282" s="211">
        <v>1847</v>
      </c>
      <c r="F282" s="211">
        <v>1851</v>
      </c>
      <c r="G282" s="211"/>
      <c r="H282" s="220" t="str">
        <f>HYPERLINK("https://map.geo.admin.ch/?zoom=7&amp;E=623300&amp;N=202100&amp;layers=ch.kantone.cadastralwebmap-farbe,ch.swisstopo.amtliches-strassenverzeichnis,ch.bfs.gebaeude_wohnungs_register,KML||https://tinyurl.com/yy7ya4g9/BE/0903_bdg_erw.kml","KML building")</f>
        <v>KML building</v>
      </c>
      <c r="I282" s="154">
        <v>0</v>
      </c>
      <c r="J282" s="243" t="s">
        <v>1243</v>
      </c>
      <c r="K282" s="153">
        <v>0</v>
      </c>
      <c r="L282" s="64">
        <v>0</v>
      </c>
      <c r="M282" s="64"/>
      <c r="N282" s="200">
        <v>0</v>
      </c>
      <c r="O282" s="155"/>
      <c r="P282" s="63"/>
      <c r="Q282" s="64">
        <v>0</v>
      </c>
      <c r="R282" s="64"/>
      <c r="S282" s="200">
        <v>0</v>
      </c>
      <c r="T282" s="155"/>
      <c r="U282" s="63"/>
      <c r="V282" s="64">
        <v>0</v>
      </c>
      <c r="W282" s="64"/>
      <c r="X282" s="200">
        <v>0</v>
      </c>
      <c r="Y282" s="155"/>
      <c r="Z282" s="63"/>
      <c r="AA282" s="64">
        <v>0</v>
      </c>
      <c r="AB282" s="64"/>
      <c r="AC282" s="200">
        <v>0</v>
      </c>
      <c r="AD282" s="156"/>
      <c r="AE282" s="153"/>
      <c r="AF282" s="140">
        <v>1</v>
      </c>
      <c r="AG282" s="140"/>
      <c r="AH282" s="200">
        <v>5.0000000000000001E-4</v>
      </c>
      <c r="AI282" s="140"/>
      <c r="AJ282" s="153"/>
      <c r="AK282" s="140">
        <v>0</v>
      </c>
      <c r="AL282" s="140"/>
      <c r="AM282" s="200">
        <v>0</v>
      </c>
      <c r="AN282" s="156"/>
      <c r="AO282" s="230">
        <v>5.0000000000000001E-4</v>
      </c>
      <c r="AP282" s="223">
        <v>935</v>
      </c>
      <c r="AQ282" s="223">
        <v>780</v>
      </c>
      <c r="AR282" s="235">
        <v>0.83399999999999996</v>
      </c>
      <c r="AS282" s="223">
        <v>688</v>
      </c>
      <c r="AT282" s="235">
        <v>0.73599999999999999</v>
      </c>
      <c r="AU282" s="223">
        <v>680</v>
      </c>
      <c r="AV282" s="232">
        <v>0.72699999999999998</v>
      </c>
      <c r="AW282" s="223">
        <v>543</v>
      </c>
      <c r="AX282" s="223">
        <v>527</v>
      </c>
      <c r="AY282" s="235">
        <v>0.97099999999999997</v>
      </c>
      <c r="AZ282" s="223">
        <v>488</v>
      </c>
      <c r="BA282" s="235">
        <v>0.89900000000000002</v>
      </c>
      <c r="BB282" s="223">
        <v>482</v>
      </c>
      <c r="BC282" s="232">
        <v>0.88800000000000001</v>
      </c>
    </row>
    <row r="283" spans="1:55" x14ac:dyDescent="0.25">
      <c r="A283" s="226">
        <v>1</v>
      </c>
      <c r="B283" s="211" t="s">
        <v>117</v>
      </c>
      <c r="C283" s="211">
        <v>904</v>
      </c>
      <c r="D283" s="211" t="s">
        <v>459</v>
      </c>
      <c r="E283" s="211">
        <v>1116</v>
      </c>
      <c r="F283" s="211">
        <v>1117</v>
      </c>
      <c r="G283" s="211"/>
      <c r="H283" s="220" t="str">
        <f>HYPERLINK("https://map.geo.admin.ch/?zoom=7&amp;E=623100&amp;N=189300&amp;layers=ch.kantone.cadastralwebmap-farbe,ch.swisstopo.amtliches-strassenverzeichnis,ch.bfs.gebaeude_wohnungs_register,KML||https://tinyurl.com/yy7ya4g9/BE/0904_bdg_erw.kml","KML building")</f>
        <v>KML building</v>
      </c>
      <c r="I283" s="154">
        <v>0</v>
      </c>
      <c r="J283" s="243" t="s">
        <v>1244</v>
      </c>
      <c r="K283" s="153">
        <v>0</v>
      </c>
      <c r="L283" s="64">
        <v>0</v>
      </c>
      <c r="M283" s="64"/>
      <c r="N283" s="200">
        <v>0</v>
      </c>
      <c r="O283" s="155"/>
      <c r="P283" s="63"/>
      <c r="Q283" s="64">
        <v>0</v>
      </c>
      <c r="R283" s="64"/>
      <c r="S283" s="200">
        <v>0</v>
      </c>
      <c r="T283" s="155"/>
      <c r="U283" s="63"/>
      <c r="V283" s="64">
        <v>0</v>
      </c>
      <c r="W283" s="64"/>
      <c r="X283" s="200">
        <v>0</v>
      </c>
      <c r="Y283" s="155"/>
      <c r="Z283" s="63"/>
      <c r="AA283" s="64">
        <v>0</v>
      </c>
      <c r="AB283" s="64"/>
      <c r="AC283" s="200">
        <v>0</v>
      </c>
      <c r="AD283" s="156"/>
      <c r="AE283" s="153"/>
      <c r="AF283" s="140">
        <v>0</v>
      </c>
      <c r="AG283" s="140"/>
      <c r="AH283" s="200">
        <v>0</v>
      </c>
      <c r="AI283" s="140"/>
      <c r="AJ283" s="153"/>
      <c r="AK283" s="140">
        <v>0</v>
      </c>
      <c r="AL283" s="140"/>
      <c r="AM283" s="200">
        <v>0</v>
      </c>
      <c r="AN283" s="156"/>
      <c r="AO283" s="230">
        <v>0</v>
      </c>
      <c r="AP283" s="223">
        <v>681</v>
      </c>
      <c r="AQ283" s="223">
        <v>572</v>
      </c>
      <c r="AR283" s="235">
        <v>0.84</v>
      </c>
      <c r="AS283" s="223">
        <v>511</v>
      </c>
      <c r="AT283" s="235">
        <v>0.75</v>
      </c>
      <c r="AU283" s="223">
        <v>503</v>
      </c>
      <c r="AV283" s="232">
        <v>0.73899999999999999</v>
      </c>
      <c r="AW283" s="223">
        <v>426</v>
      </c>
      <c r="AX283" s="223">
        <v>421</v>
      </c>
      <c r="AY283" s="235">
        <v>0.98799999999999999</v>
      </c>
      <c r="AZ283" s="223">
        <v>384</v>
      </c>
      <c r="BA283" s="235">
        <v>0.90100000000000002</v>
      </c>
      <c r="BB283" s="223">
        <v>382</v>
      </c>
      <c r="BC283" s="232">
        <v>0.89700000000000002</v>
      </c>
    </row>
    <row r="284" spans="1:55" x14ac:dyDescent="0.25">
      <c r="A284" s="226">
        <v>1</v>
      </c>
      <c r="B284" s="211" t="s">
        <v>117</v>
      </c>
      <c r="C284" s="211">
        <v>905</v>
      </c>
      <c r="D284" s="211" t="s">
        <v>460</v>
      </c>
      <c r="E284" s="211">
        <v>1443</v>
      </c>
      <c r="F284" s="211">
        <v>1451</v>
      </c>
      <c r="G284" s="211"/>
      <c r="H284" s="220" t="str">
        <f>HYPERLINK("https://map.geo.admin.ch/?zoom=7&amp;E=621600&amp;N=203600&amp;layers=ch.kantone.cadastralwebmap-farbe,ch.swisstopo.amtliches-strassenverzeichnis,ch.bfs.gebaeude_wohnungs_register,KML||https://tinyurl.com/yy7ya4g9/BE/0905_bdg_erw.kml","KML building")</f>
        <v>KML building</v>
      </c>
      <c r="I284" s="154">
        <v>0</v>
      </c>
      <c r="J284" s="243" t="s">
        <v>1245</v>
      </c>
      <c r="K284" s="153">
        <v>0</v>
      </c>
      <c r="L284" s="64">
        <v>0</v>
      </c>
      <c r="M284" s="64"/>
      <c r="N284" s="200">
        <v>0</v>
      </c>
      <c r="O284" s="155"/>
      <c r="P284" s="63"/>
      <c r="Q284" s="64">
        <v>0</v>
      </c>
      <c r="R284" s="64"/>
      <c r="S284" s="200">
        <v>0</v>
      </c>
      <c r="T284" s="155"/>
      <c r="U284" s="63"/>
      <c r="V284" s="64">
        <v>0</v>
      </c>
      <c r="W284" s="64"/>
      <c r="X284" s="200">
        <v>0</v>
      </c>
      <c r="Y284" s="155"/>
      <c r="Z284" s="63"/>
      <c r="AA284" s="64">
        <v>0</v>
      </c>
      <c r="AB284" s="64"/>
      <c r="AC284" s="200">
        <v>0</v>
      </c>
      <c r="AD284" s="156"/>
      <c r="AE284" s="153"/>
      <c r="AF284" s="140">
        <v>1</v>
      </c>
      <c r="AG284" s="140"/>
      <c r="AH284" s="200">
        <v>6.9999999999999999E-4</v>
      </c>
      <c r="AI284" s="140"/>
      <c r="AJ284" s="153"/>
      <c r="AK284" s="140">
        <v>1</v>
      </c>
      <c r="AL284" s="140"/>
      <c r="AM284" s="200">
        <v>6.9999999999999999E-4</v>
      </c>
      <c r="AN284" s="156"/>
      <c r="AO284" s="230">
        <v>1.4E-3</v>
      </c>
      <c r="AP284" s="223">
        <v>697</v>
      </c>
      <c r="AQ284" s="223">
        <v>595</v>
      </c>
      <c r="AR284" s="235">
        <v>0.85399999999999998</v>
      </c>
      <c r="AS284" s="223">
        <v>545</v>
      </c>
      <c r="AT284" s="235">
        <v>0.78200000000000003</v>
      </c>
      <c r="AU284" s="223">
        <v>522</v>
      </c>
      <c r="AV284" s="232">
        <v>0.749</v>
      </c>
      <c r="AW284" s="223">
        <v>464</v>
      </c>
      <c r="AX284" s="223">
        <v>448</v>
      </c>
      <c r="AY284" s="235">
        <v>0.96599999999999997</v>
      </c>
      <c r="AZ284" s="223">
        <v>424</v>
      </c>
      <c r="BA284" s="235">
        <v>0.91400000000000003</v>
      </c>
      <c r="BB284" s="223">
        <v>413</v>
      </c>
      <c r="BC284" s="232">
        <v>0.89</v>
      </c>
    </row>
    <row r="285" spans="1:55" x14ac:dyDescent="0.25">
      <c r="A285" s="226">
        <v>1</v>
      </c>
      <c r="B285" s="211" t="s">
        <v>117</v>
      </c>
      <c r="C285" s="211">
        <v>906</v>
      </c>
      <c r="D285" s="211" t="s">
        <v>461</v>
      </c>
      <c r="E285" s="211">
        <v>921</v>
      </c>
      <c r="F285" s="211">
        <v>921</v>
      </c>
      <c r="G285" s="211"/>
      <c r="H285" s="220" t="str">
        <f>HYPERLINK("https://map.geo.admin.ch/?zoom=7&amp;E=632200&amp;N=186300&amp;layers=ch.kantone.cadastralwebmap-farbe,ch.swisstopo.amtliches-strassenverzeichnis,ch.bfs.gebaeude_wohnungs_register,KML||https://tinyurl.com/yy7ya4g9/BE/0906_bdg_erw.kml","KML building")</f>
        <v>KML building</v>
      </c>
      <c r="I285" s="154">
        <v>1</v>
      </c>
      <c r="J285" s="243" t="s">
        <v>1246</v>
      </c>
      <c r="K285" s="153">
        <v>1.0857763300760044E-3</v>
      </c>
      <c r="L285" s="64">
        <v>0</v>
      </c>
      <c r="M285" s="64"/>
      <c r="N285" s="200">
        <v>0</v>
      </c>
      <c r="O285" s="155"/>
      <c r="P285" s="63"/>
      <c r="Q285" s="64">
        <v>0</v>
      </c>
      <c r="R285" s="64"/>
      <c r="S285" s="200">
        <v>0</v>
      </c>
      <c r="T285" s="155"/>
      <c r="U285" s="63"/>
      <c r="V285" s="64">
        <v>0</v>
      </c>
      <c r="W285" s="64"/>
      <c r="X285" s="200">
        <v>0</v>
      </c>
      <c r="Y285" s="155"/>
      <c r="Z285" s="63"/>
      <c r="AA285" s="64">
        <v>0</v>
      </c>
      <c r="AB285" s="64"/>
      <c r="AC285" s="200">
        <v>0</v>
      </c>
      <c r="AD285" s="156"/>
      <c r="AE285" s="153"/>
      <c r="AF285" s="140">
        <v>0</v>
      </c>
      <c r="AG285" s="140"/>
      <c r="AH285" s="200">
        <v>0</v>
      </c>
      <c r="AI285" s="140"/>
      <c r="AJ285" s="153"/>
      <c r="AK285" s="140">
        <v>0</v>
      </c>
      <c r="AL285" s="140"/>
      <c r="AM285" s="200">
        <v>0</v>
      </c>
      <c r="AN285" s="156"/>
      <c r="AO285" s="230">
        <v>0</v>
      </c>
      <c r="AP285" s="223">
        <v>585</v>
      </c>
      <c r="AQ285" s="223">
        <v>495</v>
      </c>
      <c r="AR285" s="235">
        <v>0.84599999999999997</v>
      </c>
      <c r="AS285" s="223">
        <v>471</v>
      </c>
      <c r="AT285" s="235">
        <v>0.80500000000000005</v>
      </c>
      <c r="AU285" s="223">
        <v>464</v>
      </c>
      <c r="AV285" s="232">
        <v>0.79300000000000004</v>
      </c>
      <c r="AW285" s="223">
        <v>411</v>
      </c>
      <c r="AX285" s="223">
        <v>407</v>
      </c>
      <c r="AY285" s="235">
        <v>0.99</v>
      </c>
      <c r="AZ285" s="223">
        <v>379</v>
      </c>
      <c r="BA285" s="235">
        <v>0.92200000000000004</v>
      </c>
      <c r="BB285" s="223">
        <v>379</v>
      </c>
      <c r="BC285" s="232">
        <v>0.92200000000000004</v>
      </c>
    </row>
    <row r="286" spans="1:55" x14ac:dyDescent="0.25">
      <c r="A286" s="226">
        <v>1</v>
      </c>
      <c r="B286" s="211" t="s">
        <v>117</v>
      </c>
      <c r="C286" s="211">
        <v>907</v>
      </c>
      <c r="D286" s="211" t="s">
        <v>462</v>
      </c>
      <c r="E286" s="211">
        <v>1655</v>
      </c>
      <c r="F286" s="211">
        <v>1656</v>
      </c>
      <c r="G286" s="211"/>
      <c r="H286" s="220" t="str">
        <f>HYPERLINK("https://map.geo.admin.ch/?zoom=7&amp;E=621900&amp;N=196600&amp;layers=ch.kantone.cadastralwebmap-farbe,ch.swisstopo.amtliches-strassenverzeichnis,ch.bfs.gebaeude_wohnungs_register,KML||https://tinyurl.com/yy7ya4g9/BE/0907_bdg_erw.kml","KML building")</f>
        <v>KML building</v>
      </c>
      <c r="I286" s="154">
        <v>0</v>
      </c>
      <c r="J286" s="243" t="s">
        <v>1247</v>
      </c>
      <c r="K286" s="153">
        <v>0</v>
      </c>
      <c r="L286" s="64">
        <v>0</v>
      </c>
      <c r="M286" s="64"/>
      <c r="N286" s="200">
        <v>0</v>
      </c>
      <c r="O286" s="155"/>
      <c r="P286" s="63"/>
      <c r="Q286" s="64">
        <v>0</v>
      </c>
      <c r="R286" s="64"/>
      <c r="S286" s="200">
        <v>0</v>
      </c>
      <c r="T286" s="155"/>
      <c r="U286" s="63"/>
      <c r="V286" s="64">
        <v>0</v>
      </c>
      <c r="W286" s="64"/>
      <c r="X286" s="200">
        <v>0</v>
      </c>
      <c r="Y286" s="155"/>
      <c r="Z286" s="63"/>
      <c r="AA286" s="64">
        <v>0</v>
      </c>
      <c r="AB286" s="64"/>
      <c r="AC286" s="200">
        <v>0</v>
      </c>
      <c r="AD286" s="156"/>
      <c r="AE286" s="153"/>
      <c r="AF286" s="140">
        <v>0</v>
      </c>
      <c r="AG286" s="140"/>
      <c r="AH286" s="200">
        <v>0</v>
      </c>
      <c r="AI286" s="140"/>
      <c r="AJ286" s="153"/>
      <c r="AK286" s="140">
        <v>1</v>
      </c>
      <c r="AL286" s="140"/>
      <c r="AM286" s="200">
        <v>5.9999999999999995E-4</v>
      </c>
      <c r="AN286" s="156"/>
      <c r="AO286" s="230">
        <v>5.9999999999999995E-4</v>
      </c>
      <c r="AP286" s="223">
        <v>874</v>
      </c>
      <c r="AQ286" s="223">
        <v>744</v>
      </c>
      <c r="AR286" s="235">
        <v>0.85099999999999998</v>
      </c>
      <c r="AS286" s="223">
        <v>696</v>
      </c>
      <c r="AT286" s="235">
        <v>0.79600000000000004</v>
      </c>
      <c r="AU286" s="223">
        <v>680</v>
      </c>
      <c r="AV286" s="232">
        <v>0.77800000000000002</v>
      </c>
      <c r="AW286" s="223">
        <v>564</v>
      </c>
      <c r="AX286" s="223">
        <v>551</v>
      </c>
      <c r="AY286" s="235">
        <v>0.97699999999999998</v>
      </c>
      <c r="AZ286" s="223">
        <v>512</v>
      </c>
      <c r="BA286" s="235">
        <v>0.90800000000000003</v>
      </c>
      <c r="BB286" s="223">
        <v>511</v>
      </c>
      <c r="BC286" s="232">
        <v>0.90600000000000003</v>
      </c>
    </row>
    <row r="287" spans="1:55" x14ac:dyDescent="0.25">
      <c r="A287" s="226">
        <v>1</v>
      </c>
      <c r="B287" s="211" t="s">
        <v>117</v>
      </c>
      <c r="C287" s="211">
        <v>908</v>
      </c>
      <c r="D287" s="211" t="s">
        <v>463</v>
      </c>
      <c r="E287" s="211">
        <v>1525</v>
      </c>
      <c r="F287" s="211">
        <v>1525</v>
      </c>
      <c r="G287" s="211"/>
      <c r="H287" s="220" t="str">
        <f>HYPERLINK("https://map.geo.admin.ch/?zoom=7&amp;E=633600&amp;N=199200&amp;layers=ch.kantone.cadastralwebmap-farbe,ch.swisstopo.amtliches-strassenverzeichnis,ch.bfs.gebaeude_wohnungs_register,KML||https://tinyurl.com/yy7ya4g9/BE/0908_bdg_erw.kml","KML building")</f>
        <v>KML building</v>
      </c>
      <c r="I287" s="154">
        <v>0</v>
      </c>
      <c r="J287" s="243" t="s">
        <v>1248</v>
      </c>
      <c r="K287" s="153">
        <v>0</v>
      </c>
      <c r="L287" s="64">
        <v>0</v>
      </c>
      <c r="M287" s="64"/>
      <c r="N287" s="200">
        <v>0</v>
      </c>
      <c r="O287" s="155"/>
      <c r="P287" s="63"/>
      <c r="Q287" s="64">
        <v>0</v>
      </c>
      <c r="R287" s="64"/>
      <c r="S287" s="200">
        <v>0</v>
      </c>
      <c r="T287" s="155"/>
      <c r="U287" s="63"/>
      <c r="V287" s="64">
        <v>0</v>
      </c>
      <c r="W287" s="64"/>
      <c r="X287" s="200">
        <v>0</v>
      </c>
      <c r="Y287" s="155"/>
      <c r="Z287" s="63"/>
      <c r="AA287" s="64">
        <v>0</v>
      </c>
      <c r="AB287" s="64"/>
      <c r="AC287" s="200">
        <v>0</v>
      </c>
      <c r="AD287" s="156"/>
      <c r="AE287" s="153"/>
      <c r="AF287" s="140">
        <v>4</v>
      </c>
      <c r="AG287" s="140"/>
      <c r="AH287" s="200">
        <v>2.5999999999999999E-3</v>
      </c>
      <c r="AI287" s="140"/>
      <c r="AJ287" s="153"/>
      <c r="AK287" s="140">
        <v>2</v>
      </c>
      <c r="AL287" s="140"/>
      <c r="AM287" s="200">
        <v>1.2999999999999999E-3</v>
      </c>
      <c r="AN287" s="156"/>
      <c r="AO287" s="230">
        <v>3.8999999999999998E-3</v>
      </c>
      <c r="AP287" s="223">
        <v>901</v>
      </c>
      <c r="AQ287" s="223">
        <v>763</v>
      </c>
      <c r="AR287" s="235">
        <v>0.84699999999999998</v>
      </c>
      <c r="AS287" s="223">
        <v>723</v>
      </c>
      <c r="AT287" s="235">
        <v>0.80200000000000005</v>
      </c>
      <c r="AU287" s="223">
        <v>708</v>
      </c>
      <c r="AV287" s="232">
        <v>0.78600000000000003</v>
      </c>
      <c r="AW287" s="223">
        <v>589</v>
      </c>
      <c r="AX287" s="223">
        <v>571</v>
      </c>
      <c r="AY287" s="235">
        <v>0.96899999999999997</v>
      </c>
      <c r="AZ287" s="223">
        <v>537</v>
      </c>
      <c r="BA287" s="235">
        <v>0.91200000000000003</v>
      </c>
      <c r="BB287" s="223">
        <v>535</v>
      </c>
      <c r="BC287" s="232">
        <v>0.90800000000000003</v>
      </c>
    </row>
    <row r="288" spans="1:55" x14ac:dyDescent="0.25">
      <c r="A288" s="226">
        <v>1</v>
      </c>
      <c r="B288" s="211" t="s">
        <v>117</v>
      </c>
      <c r="C288" s="211">
        <v>909</v>
      </c>
      <c r="D288" s="211" t="s">
        <v>464</v>
      </c>
      <c r="E288" s="211">
        <v>864</v>
      </c>
      <c r="F288" s="211">
        <v>865</v>
      </c>
      <c r="G288" s="211"/>
      <c r="H288" s="220" t="str">
        <f>HYPERLINK("https://map.geo.admin.ch/?zoom=7&amp;E=630900&amp;N=196900&amp;layers=ch.kantone.cadastralwebmap-farbe,ch.swisstopo.amtliches-strassenverzeichnis,ch.bfs.gebaeude_wohnungs_register,KML||https://tinyurl.com/yy7ya4g9/BE/0909_bdg_erw.kml","KML building")</f>
        <v>KML building</v>
      </c>
      <c r="I288" s="154">
        <v>2</v>
      </c>
      <c r="J288" s="243" t="s">
        <v>1249</v>
      </c>
      <c r="K288" s="153">
        <v>2.3148148148148147E-3</v>
      </c>
      <c r="L288" s="64">
        <v>0</v>
      </c>
      <c r="M288" s="64"/>
      <c r="N288" s="200">
        <v>0</v>
      </c>
      <c r="O288" s="155"/>
      <c r="P288" s="63"/>
      <c r="Q288" s="64">
        <v>0</v>
      </c>
      <c r="R288" s="64"/>
      <c r="S288" s="200">
        <v>0</v>
      </c>
      <c r="T288" s="155"/>
      <c r="U288" s="63"/>
      <c r="V288" s="64">
        <v>0</v>
      </c>
      <c r="W288" s="64"/>
      <c r="X288" s="200">
        <v>0</v>
      </c>
      <c r="Y288" s="155"/>
      <c r="Z288" s="63"/>
      <c r="AA288" s="64">
        <v>0</v>
      </c>
      <c r="AB288" s="64"/>
      <c r="AC288" s="200">
        <v>0</v>
      </c>
      <c r="AD288" s="156"/>
      <c r="AE288" s="153"/>
      <c r="AF288" s="140">
        <v>8</v>
      </c>
      <c r="AG288" s="140"/>
      <c r="AH288" s="200">
        <v>9.2999999999999992E-3</v>
      </c>
      <c r="AI288" s="140"/>
      <c r="AJ288" s="153"/>
      <c r="AK288" s="140">
        <v>8</v>
      </c>
      <c r="AL288" s="140"/>
      <c r="AM288" s="200">
        <v>9.2999999999999992E-3</v>
      </c>
      <c r="AN288" s="156"/>
      <c r="AO288" s="230">
        <v>1.8599999999999998E-2</v>
      </c>
      <c r="AP288" s="223">
        <v>450</v>
      </c>
      <c r="AQ288" s="223">
        <v>371</v>
      </c>
      <c r="AR288" s="235">
        <v>0.82399999999999995</v>
      </c>
      <c r="AS288" s="223">
        <v>335</v>
      </c>
      <c r="AT288" s="235">
        <v>0.74399999999999999</v>
      </c>
      <c r="AU288" s="223">
        <v>324</v>
      </c>
      <c r="AV288" s="232">
        <v>0.72</v>
      </c>
      <c r="AW288" s="223">
        <v>274</v>
      </c>
      <c r="AX288" s="223">
        <v>269</v>
      </c>
      <c r="AY288" s="235">
        <v>0.98199999999999998</v>
      </c>
      <c r="AZ288" s="223">
        <v>247</v>
      </c>
      <c r="BA288" s="235">
        <v>0.90100000000000002</v>
      </c>
      <c r="BB288" s="223">
        <v>244</v>
      </c>
      <c r="BC288" s="232">
        <v>0.89100000000000001</v>
      </c>
    </row>
    <row r="289" spans="1:55" x14ac:dyDescent="0.25">
      <c r="A289" s="226">
        <v>1</v>
      </c>
      <c r="B289" s="211" t="s">
        <v>117</v>
      </c>
      <c r="C289" s="211">
        <v>921</v>
      </c>
      <c r="D289" s="211" t="s">
        <v>465</v>
      </c>
      <c r="E289" s="211">
        <v>457</v>
      </c>
      <c r="F289" s="211">
        <v>460</v>
      </c>
      <c r="G289" s="211"/>
      <c r="H289" s="220" t="str">
        <f>HYPERLINK("https://map.geo.admin.ch/?zoom=7&amp;E=610900&amp;N=175100&amp;layers=ch.kantone.cadastralwebmap-farbe,ch.swisstopo.amtliches-strassenverzeichnis,ch.bfs.gebaeude_wohnungs_register,KML||https://tinyurl.com/yy7ya4g9/BE/0921_bdg_erw.kml","KML building")</f>
        <v>KML building</v>
      </c>
      <c r="I289" s="154">
        <v>0</v>
      </c>
      <c r="J289" s="243" t="s">
        <v>1250</v>
      </c>
      <c r="K289" s="153">
        <v>0</v>
      </c>
      <c r="L289" s="64">
        <v>0</v>
      </c>
      <c r="M289" s="64"/>
      <c r="N289" s="200">
        <v>0</v>
      </c>
      <c r="O289" s="155"/>
      <c r="P289" s="63"/>
      <c r="Q289" s="64">
        <v>0</v>
      </c>
      <c r="R289" s="64"/>
      <c r="S289" s="200">
        <v>0</v>
      </c>
      <c r="T289" s="155"/>
      <c r="U289" s="63"/>
      <c r="V289" s="64">
        <v>0</v>
      </c>
      <c r="W289" s="64"/>
      <c r="X289" s="200">
        <v>0</v>
      </c>
      <c r="Y289" s="155"/>
      <c r="Z289" s="63"/>
      <c r="AA289" s="64">
        <v>0</v>
      </c>
      <c r="AB289" s="64"/>
      <c r="AC289" s="200">
        <v>0</v>
      </c>
      <c r="AD289" s="156"/>
      <c r="AE289" s="153"/>
      <c r="AF289" s="140">
        <v>0</v>
      </c>
      <c r="AG289" s="140"/>
      <c r="AH289" s="200">
        <v>0</v>
      </c>
      <c r="AI289" s="140"/>
      <c r="AJ289" s="153"/>
      <c r="AK289" s="140">
        <v>0</v>
      </c>
      <c r="AL289" s="140"/>
      <c r="AM289" s="200">
        <v>0</v>
      </c>
      <c r="AN289" s="156"/>
      <c r="AO289" s="230">
        <v>0</v>
      </c>
      <c r="AP289" s="223">
        <v>179</v>
      </c>
      <c r="AQ289" s="223">
        <v>147</v>
      </c>
      <c r="AR289" s="235">
        <v>0.82099999999999995</v>
      </c>
      <c r="AS289" s="223">
        <v>127</v>
      </c>
      <c r="AT289" s="235">
        <v>0.70899999999999996</v>
      </c>
      <c r="AU289" s="223">
        <v>124</v>
      </c>
      <c r="AV289" s="232">
        <v>0.69299999999999995</v>
      </c>
      <c r="AW289" s="223">
        <v>103</v>
      </c>
      <c r="AX289" s="223">
        <v>98</v>
      </c>
      <c r="AY289" s="235">
        <v>0.95099999999999996</v>
      </c>
      <c r="AZ289" s="223">
        <v>86</v>
      </c>
      <c r="BA289" s="235">
        <v>0.83499999999999996</v>
      </c>
      <c r="BB289" s="223">
        <v>83</v>
      </c>
      <c r="BC289" s="232">
        <v>0.80600000000000005</v>
      </c>
    </row>
    <row r="290" spans="1:55" x14ac:dyDescent="0.25">
      <c r="A290" s="226">
        <v>1</v>
      </c>
      <c r="B290" s="211" t="s">
        <v>117</v>
      </c>
      <c r="C290" s="211">
        <v>922</v>
      </c>
      <c r="D290" s="211" t="s">
        <v>466</v>
      </c>
      <c r="E290" s="211">
        <v>778</v>
      </c>
      <c r="F290" s="211">
        <v>782</v>
      </c>
      <c r="G290" s="211"/>
      <c r="H290" s="220" t="str">
        <f>HYPERLINK("https://map.geo.admin.ch/?zoom=7&amp;E=606300&amp;N=176600&amp;layers=ch.kantone.cadastralwebmap-farbe,ch.swisstopo.amtliches-strassenverzeichnis,ch.bfs.gebaeude_wohnungs_register,KML||https://tinyurl.com/yy7ya4g9/BE/0922_bdg_erw.kml","KML building")</f>
        <v>KML building</v>
      </c>
      <c r="I290" s="154">
        <v>0</v>
      </c>
      <c r="J290" s="243" t="s">
        <v>1251</v>
      </c>
      <c r="K290" s="153">
        <v>0</v>
      </c>
      <c r="L290" s="64">
        <v>0</v>
      </c>
      <c r="M290" s="64"/>
      <c r="N290" s="200">
        <v>0</v>
      </c>
      <c r="O290" s="155"/>
      <c r="P290" s="63"/>
      <c r="Q290" s="64">
        <v>0</v>
      </c>
      <c r="R290" s="64"/>
      <c r="S290" s="200">
        <v>0</v>
      </c>
      <c r="T290" s="155"/>
      <c r="U290" s="63"/>
      <c r="V290" s="64">
        <v>0</v>
      </c>
      <c r="W290" s="64"/>
      <c r="X290" s="200">
        <v>0</v>
      </c>
      <c r="Y290" s="155"/>
      <c r="Z290" s="63"/>
      <c r="AA290" s="64">
        <v>0</v>
      </c>
      <c r="AB290" s="64"/>
      <c r="AC290" s="200">
        <v>0</v>
      </c>
      <c r="AD290" s="156"/>
      <c r="AE290" s="153"/>
      <c r="AF290" s="140">
        <v>3</v>
      </c>
      <c r="AG290" s="140"/>
      <c r="AH290" s="200">
        <v>3.8999999999999998E-3</v>
      </c>
      <c r="AI290" s="140"/>
      <c r="AJ290" s="153"/>
      <c r="AK290" s="140">
        <v>1</v>
      </c>
      <c r="AL290" s="140"/>
      <c r="AM290" s="200">
        <v>1.2999999999999999E-3</v>
      </c>
      <c r="AN290" s="156"/>
      <c r="AO290" s="230">
        <v>5.1999999999999998E-3</v>
      </c>
      <c r="AP290" s="223">
        <v>380</v>
      </c>
      <c r="AQ290" s="223">
        <v>337</v>
      </c>
      <c r="AR290" s="235">
        <v>0.88700000000000001</v>
      </c>
      <c r="AS290" s="223">
        <v>303</v>
      </c>
      <c r="AT290" s="235">
        <v>0.79700000000000004</v>
      </c>
      <c r="AU290" s="223">
        <v>293</v>
      </c>
      <c r="AV290" s="232">
        <v>0.77100000000000002</v>
      </c>
      <c r="AW290" s="223">
        <v>234</v>
      </c>
      <c r="AX290" s="223">
        <v>207</v>
      </c>
      <c r="AY290" s="235">
        <v>0.88500000000000001</v>
      </c>
      <c r="AZ290" s="223">
        <v>199</v>
      </c>
      <c r="BA290" s="235">
        <v>0.85</v>
      </c>
      <c r="BB290" s="223">
        <v>191</v>
      </c>
      <c r="BC290" s="232">
        <v>0.81599999999999995</v>
      </c>
    </row>
    <row r="291" spans="1:55" x14ac:dyDescent="0.25">
      <c r="A291" s="226">
        <v>1</v>
      </c>
      <c r="B291" s="211" t="s">
        <v>117</v>
      </c>
      <c r="C291" s="211">
        <v>923</v>
      </c>
      <c r="D291" s="211" t="s">
        <v>467</v>
      </c>
      <c r="E291" s="211">
        <v>1044</v>
      </c>
      <c r="F291" s="211">
        <v>1048</v>
      </c>
      <c r="G291" s="211"/>
      <c r="H291" s="220" t="str">
        <f>HYPERLINK("https://map.geo.admin.ch/?zoom=7&amp;E=619600&amp;N=185900&amp;layers=ch.kantone.cadastralwebmap-farbe,ch.swisstopo.amtliches-strassenverzeichnis,ch.bfs.gebaeude_wohnungs_register,KML||https://tinyurl.com/yy7ya4g9/BE/0923_bdg_erw.kml","KML building")</f>
        <v>KML building</v>
      </c>
      <c r="I291" s="154">
        <v>0</v>
      </c>
      <c r="J291" s="243" t="s">
        <v>1252</v>
      </c>
      <c r="K291" s="153">
        <v>0</v>
      </c>
      <c r="L291" s="64">
        <v>0</v>
      </c>
      <c r="M291" s="64"/>
      <c r="N291" s="200">
        <v>0</v>
      </c>
      <c r="O291" s="155"/>
      <c r="P291" s="63"/>
      <c r="Q291" s="64">
        <v>0</v>
      </c>
      <c r="R291" s="64"/>
      <c r="S291" s="200">
        <v>0</v>
      </c>
      <c r="T291" s="155"/>
      <c r="U291" s="63"/>
      <c r="V291" s="64">
        <v>0</v>
      </c>
      <c r="W291" s="64"/>
      <c r="X291" s="200">
        <v>0</v>
      </c>
      <c r="Y291" s="155"/>
      <c r="Z291" s="63"/>
      <c r="AA291" s="64">
        <v>0</v>
      </c>
      <c r="AB291" s="64"/>
      <c r="AC291" s="200">
        <v>0</v>
      </c>
      <c r="AD291" s="156"/>
      <c r="AE291" s="153"/>
      <c r="AF291" s="140">
        <v>2</v>
      </c>
      <c r="AG291" s="140"/>
      <c r="AH291" s="200">
        <v>1.9E-3</v>
      </c>
      <c r="AI291" s="140"/>
      <c r="AJ291" s="153"/>
      <c r="AK291" s="140">
        <v>0</v>
      </c>
      <c r="AL291" s="140"/>
      <c r="AM291" s="200">
        <v>0</v>
      </c>
      <c r="AN291" s="156"/>
      <c r="AO291" s="230">
        <v>1.9E-3</v>
      </c>
      <c r="AP291" s="223">
        <v>519</v>
      </c>
      <c r="AQ291" s="223">
        <v>420</v>
      </c>
      <c r="AR291" s="235">
        <v>0.80900000000000005</v>
      </c>
      <c r="AS291" s="223">
        <v>361</v>
      </c>
      <c r="AT291" s="235">
        <v>0.69599999999999995</v>
      </c>
      <c r="AU291" s="223">
        <v>350</v>
      </c>
      <c r="AV291" s="232">
        <v>0.67400000000000004</v>
      </c>
      <c r="AW291" s="223">
        <v>312</v>
      </c>
      <c r="AX291" s="223">
        <v>303</v>
      </c>
      <c r="AY291" s="235">
        <v>0.97099999999999997</v>
      </c>
      <c r="AZ291" s="223">
        <v>260</v>
      </c>
      <c r="BA291" s="235">
        <v>0.83299999999999996</v>
      </c>
      <c r="BB291" s="223">
        <v>258</v>
      </c>
      <c r="BC291" s="232">
        <v>0.82699999999999996</v>
      </c>
    </row>
    <row r="292" spans="1:55" x14ac:dyDescent="0.25">
      <c r="A292" s="226">
        <v>1</v>
      </c>
      <c r="B292" s="211" t="s">
        <v>117</v>
      </c>
      <c r="C292" s="219">
        <v>924</v>
      </c>
      <c r="D292" s="211" t="s">
        <v>468</v>
      </c>
      <c r="E292" s="211">
        <v>626</v>
      </c>
      <c r="F292" s="211">
        <v>626</v>
      </c>
      <c r="G292" s="211"/>
      <c r="H292" s="220" t="str">
        <f>HYPERLINK("https://map.geo.admin.ch/?zoom=7&amp;E=625900&amp;N=182000&amp;layers=ch.kantone.cadastralwebmap-farbe,ch.swisstopo.amtliches-strassenverzeichnis,ch.bfs.gebaeude_wohnungs_register,KML||https://tinyurl.com/yy7ya4g9/BE/0924_bdg_erw.kml","KML building")</f>
        <v>KML building</v>
      </c>
      <c r="I292" s="154">
        <v>1</v>
      </c>
      <c r="J292" s="243" t="s">
        <v>1253</v>
      </c>
      <c r="K292" s="153">
        <v>1.5974440894568689E-3</v>
      </c>
      <c r="L292" s="64">
        <v>0</v>
      </c>
      <c r="M292" s="64"/>
      <c r="N292" s="200">
        <v>0</v>
      </c>
      <c r="O292" s="155"/>
      <c r="P292" s="63"/>
      <c r="Q292" s="64">
        <v>0</v>
      </c>
      <c r="R292" s="64"/>
      <c r="S292" s="200">
        <v>0</v>
      </c>
      <c r="T292" s="155"/>
      <c r="U292" s="63"/>
      <c r="V292" s="64">
        <v>0</v>
      </c>
      <c r="W292" s="64"/>
      <c r="X292" s="200">
        <v>0</v>
      </c>
      <c r="Y292" s="155"/>
      <c r="Z292" s="63"/>
      <c r="AA292" s="64">
        <v>0</v>
      </c>
      <c r="AB292" s="64"/>
      <c r="AC292" s="200">
        <v>0</v>
      </c>
      <c r="AD292" s="156"/>
      <c r="AE292" s="153"/>
      <c r="AF292" s="140">
        <v>4</v>
      </c>
      <c r="AG292" s="140"/>
      <c r="AH292" s="200">
        <v>6.4000000000000003E-3</v>
      </c>
      <c r="AI292" s="140"/>
      <c r="AJ292" s="153"/>
      <c r="AK292" s="140">
        <v>0</v>
      </c>
      <c r="AL292" s="140"/>
      <c r="AM292" s="200">
        <v>0</v>
      </c>
      <c r="AN292" s="156"/>
      <c r="AO292" s="230">
        <v>6.4000000000000003E-3</v>
      </c>
      <c r="AP292" s="223">
        <v>355</v>
      </c>
      <c r="AQ292" s="223">
        <v>353</v>
      </c>
      <c r="AR292" s="235">
        <v>0.99399999999999999</v>
      </c>
      <c r="AS292" s="223">
        <v>282</v>
      </c>
      <c r="AT292" s="235">
        <v>0.79400000000000004</v>
      </c>
      <c r="AU292" s="223">
        <v>282</v>
      </c>
      <c r="AV292" s="232">
        <v>0.79400000000000004</v>
      </c>
      <c r="AW292" s="223">
        <v>176</v>
      </c>
      <c r="AX292" s="223">
        <v>176</v>
      </c>
      <c r="AY292" s="235">
        <v>1</v>
      </c>
      <c r="AZ292" s="223">
        <v>171</v>
      </c>
      <c r="BA292" s="235">
        <v>0.97199999999999998</v>
      </c>
      <c r="BB292" s="223">
        <v>171</v>
      </c>
      <c r="BC292" s="232">
        <v>0.97199999999999998</v>
      </c>
    </row>
    <row r="293" spans="1:55" x14ac:dyDescent="0.25">
      <c r="A293" s="226">
        <v>1</v>
      </c>
      <c r="B293" s="211" t="s">
        <v>117</v>
      </c>
      <c r="C293" s="211">
        <v>925</v>
      </c>
      <c r="D293" s="211" t="s">
        <v>469</v>
      </c>
      <c r="E293" s="211">
        <v>549</v>
      </c>
      <c r="F293" s="211">
        <v>550</v>
      </c>
      <c r="G293" s="211"/>
      <c r="H293" s="220" t="str">
        <f>HYPERLINK("https://map.geo.admin.ch/?zoom=7&amp;E=616500&amp;N=182500&amp;layers=ch.kantone.cadastralwebmap-farbe,ch.swisstopo.amtliches-strassenverzeichnis,ch.bfs.gebaeude_wohnungs_register,KML||https://tinyurl.com/yy7ya4g9/BE/0925_bdg_erw.kml","KML building")</f>
        <v>KML building</v>
      </c>
      <c r="I293" s="154">
        <v>0</v>
      </c>
      <c r="J293" s="243" t="s">
        <v>1254</v>
      </c>
      <c r="K293" s="153">
        <v>0</v>
      </c>
      <c r="L293" s="64">
        <v>0</v>
      </c>
      <c r="M293" s="64"/>
      <c r="N293" s="200">
        <v>0</v>
      </c>
      <c r="O293" s="155"/>
      <c r="P293" s="63"/>
      <c r="Q293" s="64">
        <v>0</v>
      </c>
      <c r="R293" s="64"/>
      <c r="S293" s="200">
        <v>0</v>
      </c>
      <c r="T293" s="155"/>
      <c r="U293" s="63"/>
      <c r="V293" s="64">
        <v>0</v>
      </c>
      <c r="W293" s="64"/>
      <c r="X293" s="200">
        <v>0</v>
      </c>
      <c r="Y293" s="155"/>
      <c r="Z293" s="63"/>
      <c r="AA293" s="64">
        <v>0</v>
      </c>
      <c r="AB293" s="64"/>
      <c r="AC293" s="200">
        <v>0</v>
      </c>
      <c r="AD293" s="156"/>
      <c r="AE293" s="153"/>
      <c r="AF293" s="140">
        <v>1</v>
      </c>
      <c r="AG293" s="140"/>
      <c r="AH293" s="200">
        <v>1.8E-3</v>
      </c>
      <c r="AI293" s="140"/>
      <c r="AJ293" s="153"/>
      <c r="AK293" s="140">
        <v>0</v>
      </c>
      <c r="AL293" s="140"/>
      <c r="AM293" s="200">
        <v>0</v>
      </c>
      <c r="AN293" s="156"/>
      <c r="AO293" s="230">
        <v>1.8E-3</v>
      </c>
      <c r="AP293" s="223">
        <v>288</v>
      </c>
      <c r="AQ293" s="223">
        <v>250</v>
      </c>
      <c r="AR293" s="235">
        <v>0.86799999999999999</v>
      </c>
      <c r="AS293" s="223">
        <v>229</v>
      </c>
      <c r="AT293" s="235">
        <v>0.79500000000000004</v>
      </c>
      <c r="AU293" s="223">
        <v>229</v>
      </c>
      <c r="AV293" s="232">
        <v>0.79500000000000004</v>
      </c>
      <c r="AW293" s="223">
        <v>179</v>
      </c>
      <c r="AX293" s="223">
        <v>167</v>
      </c>
      <c r="AY293" s="235">
        <v>0.93300000000000005</v>
      </c>
      <c r="AZ293" s="223">
        <v>158</v>
      </c>
      <c r="BA293" s="235">
        <v>0.88300000000000001</v>
      </c>
      <c r="BB293" s="223">
        <v>158</v>
      </c>
      <c r="BC293" s="232">
        <v>0.88300000000000001</v>
      </c>
    </row>
    <row r="294" spans="1:55" x14ac:dyDescent="0.25">
      <c r="A294" s="226">
        <v>1</v>
      </c>
      <c r="B294" s="211" t="s">
        <v>117</v>
      </c>
      <c r="C294" s="211">
        <v>927</v>
      </c>
      <c r="D294" s="211" t="s">
        <v>470</v>
      </c>
      <c r="E294" s="211">
        <v>575</v>
      </c>
      <c r="F294" s="211">
        <v>578</v>
      </c>
      <c r="G294" s="211"/>
      <c r="H294" s="220" t="str">
        <f>HYPERLINK("https://map.geo.admin.ch/?zoom=7&amp;E=619000&amp;N=177600&amp;layers=ch.kantone.cadastralwebmap-farbe,ch.swisstopo.amtliches-strassenverzeichnis,ch.bfs.gebaeude_wohnungs_register,KML||https://tinyurl.com/yy7ya4g9/BE/0927_bdg_erw.kml","KML building")</f>
        <v>KML building</v>
      </c>
      <c r="I294" s="154">
        <v>9</v>
      </c>
      <c r="J294" s="243" t="s">
        <v>1255</v>
      </c>
      <c r="K294" s="153">
        <v>1.5652173913043479E-2</v>
      </c>
      <c r="L294" s="64">
        <v>0</v>
      </c>
      <c r="M294" s="64"/>
      <c r="N294" s="200">
        <v>0</v>
      </c>
      <c r="O294" s="155"/>
      <c r="P294" s="63"/>
      <c r="Q294" s="64">
        <v>0</v>
      </c>
      <c r="R294" s="64"/>
      <c r="S294" s="200">
        <v>0</v>
      </c>
      <c r="T294" s="155"/>
      <c r="U294" s="63"/>
      <c r="V294" s="64">
        <v>0</v>
      </c>
      <c r="W294" s="64"/>
      <c r="X294" s="200">
        <v>0</v>
      </c>
      <c r="Y294" s="155"/>
      <c r="Z294" s="63"/>
      <c r="AA294" s="64">
        <v>0</v>
      </c>
      <c r="AB294" s="64"/>
      <c r="AC294" s="200">
        <v>0</v>
      </c>
      <c r="AD294" s="156"/>
      <c r="AE294" s="153"/>
      <c r="AF294" s="140">
        <v>3</v>
      </c>
      <c r="AG294" s="140"/>
      <c r="AH294" s="200">
        <v>5.1999999999999998E-3</v>
      </c>
      <c r="AI294" s="140"/>
      <c r="AJ294" s="153"/>
      <c r="AK294" s="140">
        <v>0</v>
      </c>
      <c r="AL294" s="140"/>
      <c r="AM294" s="200">
        <v>0</v>
      </c>
      <c r="AN294" s="156"/>
      <c r="AO294" s="230">
        <v>5.1999999999999998E-3</v>
      </c>
      <c r="AP294" s="223">
        <v>275</v>
      </c>
      <c r="AQ294" s="223">
        <v>272</v>
      </c>
      <c r="AR294" s="235">
        <v>0.98899999999999999</v>
      </c>
      <c r="AS294" s="223">
        <v>209</v>
      </c>
      <c r="AT294" s="235">
        <v>0.76</v>
      </c>
      <c r="AU294" s="223">
        <v>208</v>
      </c>
      <c r="AV294" s="232">
        <v>0.75600000000000001</v>
      </c>
      <c r="AW294" s="223">
        <v>145</v>
      </c>
      <c r="AX294" s="223">
        <v>143</v>
      </c>
      <c r="AY294" s="235">
        <v>0.98599999999999999</v>
      </c>
      <c r="AZ294" s="223">
        <v>119</v>
      </c>
      <c r="BA294" s="235">
        <v>0.82099999999999995</v>
      </c>
      <c r="BB294" s="223">
        <v>118</v>
      </c>
      <c r="BC294" s="232">
        <v>0.81399999999999995</v>
      </c>
    </row>
    <row r="295" spans="1:55" x14ac:dyDescent="0.25">
      <c r="A295" s="226">
        <v>1</v>
      </c>
      <c r="B295" s="211" t="s">
        <v>117</v>
      </c>
      <c r="C295" s="211">
        <v>928</v>
      </c>
      <c r="D295" s="211" t="s">
        <v>471</v>
      </c>
      <c r="E295" s="211">
        <v>2227</v>
      </c>
      <c r="F295" s="211">
        <v>2258</v>
      </c>
      <c r="G295" s="211"/>
      <c r="H295" s="220" t="str">
        <f>HYPERLINK("https://map.geo.admin.ch/?zoom=7&amp;E=612800&amp;N=182500&amp;layers=ch.kantone.cadastralwebmap-farbe,ch.swisstopo.amtliches-strassenverzeichnis,ch.bfs.gebaeude_wohnungs_register,KML||https://tinyurl.com/yy7ya4g9/BE/0928_bdg_erw.kml","KML building")</f>
        <v>KML building</v>
      </c>
      <c r="I295" s="154">
        <v>0</v>
      </c>
      <c r="J295" s="243" t="s">
        <v>1256</v>
      </c>
      <c r="K295" s="153">
        <v>0</v>
      </c>
      <c r="L295" s="64">
        <v>0</v>
      </c>
      <c r="M295" s="64"/>
      <c r="N295" s="200">
        <v>0</v>
      </c>
      <c r="O295" s="155"/>
      <c r="P295" s="63"/>
      <c r="Q295" s="64">
        <v>0</v>
      </c>
      <c r="R295" s="64"/>
      <c r="S295" s="200">
        <v>0</v>
      </c>
      <c r="T295" s="155"/>
      <c r="U295" s="63"/>
      <c r="V295" s="64">
        <v>0</v>
      </c>
      <c r="W295" s="64"/>
      <c r="X295" s="200">
        <v>0</v>
      </c>
      <c r="Y295" s="155"/>
      <c r="Z295" s="63"/>
      <c r="AA295" s="64">
        <v>0</v>
      </c>
      <c r="AB295" s="64"/>
      <c r="AC295" s="200">
        <v>0</v>
      </c>
      <c r="AD295" s="156"/>
      <c r="AE295" s="153"/>
      <c r="AF295" s="140">
        <v>3</v>
      </c>
      <c r="AG295" s="140"/>
      <c r="AH295" s="200">
        <v>1.2999999999999999E-3</v>
      </c>
      <c r="AI295" s="140"/>
      <c r="AJ295" s="153"/>
      <c r="AK295" s="140">
        <v>4</v>
      </c>
      <c r="AL295" s="140"/>
      <c r="AM295" s="200">
        <v>1.8E-3</v>
      </c>
      <c r="AN295" s="156"/>
      <c r="AO295" s="230">
        <v>3.0999999999999999E-3</v>
      </c>
      <c r="AP295" s="223">
        <v>629</v>
      </c>
      <c r="AQ295" s="223">
        <v>552</v>
      </c>
      <c r="AR295" s="235">
        <v>0.878</v>
      </c>
      <c r="AS295" s="223">
        <v>509</v>
      </c>
      <c r="AT295" s="235">
        <v>0.80900000000000005</v>
      </c>
      <c r="AU295" s="223">
        <v>500</v>
      </c>
      <c r="AV295" s="232">
        <v>0.79500000000000004</v>
      </c>
      <c r="AW295" s="223">
        <v>281</v>
      </c>
      <c r="AX295" s="223">
        <v>248</v>
      </c>
      <c r="AY295" s="235">
        <v>0.88300000000000001</v>
      </c>
      <c r="AZ295" s="223">
        <v>238</v>
      </c>
      <c r="BA295" s="235">
        <v>0.84699999999999998</v>
      </c>
      <c r="BB295" s="223">
        <v>230</v>
      </c>
      <c r="BC295" s="232">
        <v>0.81899999999999995</v>
      </c>
    </row>
    <row r="296" spans="1:55" x14ac:dyDescent="0.25">
      <c r="A296" s="226">
        <v>1</v>
      </c>
      <c r="B296" s="211" t="s">
        <v>117</v>
      </c>
      <c r="C296" s="211">
        <v>929</v>
      </c>
      <c r="D296" s="211" t="s">
        <v>472</v>
      </c>
      <c r="E296" s="211">
        <v>1823</v>
      </c>
      <c r="F296" s="211">
        <v>1836</v>
      </c>
      <c r="G296" s="211"/>
      <c r="H296" s="220" t="str">
        <f>HYPERLINK("https://map.geo.admin.ch/?zoom=7&amp;E=616000&amp;N=177200&amp;layers=ch.kantone.cadastralwebmap-farbe,ch.swisstopo.amtliches-strassenverzeichnis,ch.bfs.gebaeude_wohnungs_register,KML||https://tinyurl.com/yy7ya4g9/BE/0929_bdg_erw.kml","KML building")</f>
        <v>KML building</v>
      </c>
      <c r="I296" s="154">
        <v>0</v>
      </c>
      <c r="J296" s="243" t="s">
        <v>1257</v>
      </c>
      <c r="K296" s="153">
        <v>0</v>
      </c>
      <c r="L296" s="64">
        <v>0</v>
      </c>
      <c r="M296" s="64"/>
      <c r="N296" s="200">
        <v>0</v>
      </c>
      <c r="O296" s="155"/>
      <c r="P296" s="63"/>
      <c r="Q296" s="64">
        <v>0</v>
      </c>
      <c r="R296" s="64"/>
      <c r="S296" s="200">
        <v>0</v>
      </c>
      <c r="T296" s="155"/>
      <c r="U296" s="63"/>
      <c r="V296" s="64">
        <v>0</v>
      </c>
      <c r="W296" s="64"/>
      <c r="X296" s="200">
        <v>0</v>
      </c>
      <c r="Y296" s="155"/>
      <c r="Z296" s="63"/>
      <c r="AA296" s="64">
        <v>0</v>
      </c>
      <c r="AB296" s="64"/>
      <c r="AC296" s="200">
        <v>0</v>
      </c>
      <c r="AD296" s="156"/>
      <c r="AE296" s="153"/>
      <c r="AF296" s="140">
        <v>4</v>
      </c>
      <c r="AG296" s="140"/>
      <c r="AH296" s="200">
        <v>2.2000000000000001E-3</v>
      </c>
      <c r="AI296" s="140"/>
      <c r="AJ296" s="153"/>
      <c r="AK296" s="140">
        <v>0</v>
      </c>
      <c r="AL296" s="140"/>
      <c r="AM296" s="200">
        <v>0</v>
      </c>
      <c r="AN296" s="156"/>
      <c r="AO296" s="230">
        <v>2.2000000000000001E-3</v>
      </c>
      <c r="AP296" s="223">
        <v>544</v>
      </c>
      <c r="AQ296" s="223">
        <v>455</v>
      </c>
      <c r="AR296" s="235">
        <v>0.83599999999999997</v>
      </c>
      <c r="AS296" s="223">
        <v>427</v>
      </c>
      <c r="AT296" s="235">
        <v>0.78500000000000003</v>
      </c>
      <c r="AU296" s="223">
        <v>426</v>
      </c>
      <c r="AV296" s="232">
        <v>0.78300000000000003</v>
      </c>
      <c r="AW296" s="223">
        <v>248</v>
      </c>
      <c r="AX296" s="223">
        <v>215</v>
      </c>
      <c r="AY296" s="235">
        <v>0.86699999999999999</v>
      </c>
      <c r="AZ296" s="223">
        <v>208</v>
      </c>
      <c r="BA296" s="235">
        <v>0.83899999999999997</v>
      </c>
      <c r="BB296" s="223">
        <v>207</v>
      </c>
      <c r="BC296" s="232">
        <v>0.83499999999999996</v>
      </c>
    </row>
    <row r="297" spans="1:55" x14ac:dyDescent="0.25">
      <c r="A297" s="226">
        <v>1</v>
      </c>
      <c r="B297" s="211" t="s">
        <v>117</v>
      </c>
      <c r="C297" s="211">
        <v>931</v>
      </c>
      <c r="D297" s="211" t="s">
        <v>473</v>
      </c>
      <c r="E297" s="211">
        <v>360</v>
      </c>
      <c r="F297" s="211">
        <v>361</v>
      </c>
      <c r="G297" s="211"/>
      <c r="H297" s="220" t="str">
        <f>HYPERLINK("https://map.geo.admin.ch/?zoom=7&amp;E=618800&amp;N=180500&amp;layers=ch.kantone.cadastralwebmap-farbe,ch.swisstopo.amtliches-strassenverzeichnis,ch.bfs.gebaeude_wohnungs_register,KML||https://tinyurl.com/yy7ya4g9/BE/0931_bdg_erw.kml","KML building")</f>
        <v>KML building</v>
      </c>
      <c r="I297" s="154">
        <v>0</v>
      </c>
      <c r="J297" s="243" t="s">
        <v>1258</v>
      </c>
      <c r="K297" s="153">
        <v>0</v>
      </c>
      <c r="L297" s="64">
        <v>0</v>
      </c>
      <c r="M297" s="64"/>
      <c r="N297" s="200">
        <v>0</v>
      </c>
      <c r="O297" s="155"/>
      <c r="P297" s="63"/>
      <c r="Q297" s="64">
        <v>0</v>
      </c>
      <c r="R297" s="64"/>
      <c r="S297" s="200">
        <v>0</v>
      </c>
      <c r="T297" s="155"/>
      <c r="U297" s="63"/>
      <c r="V297" s="64">
        <v>0</v>
      </c>
      <c r="W297" s="64"/>
      <c r="X297" s="200">
        <v>0</v>
      </c>
      <c r="Y297" s="155"/>
      <c r="Z297" s="63"/>
      <c r="AA297" s="64">
        <v>0</v>
      </c>
      <c r="AB297" s="64"/>
      <c r="AC297" s="200">
        <v>0</v>
      </c>
      <c r="AD297" s="156"/>
      <c r="AE297" s="153"/>
      <c r="AF297" s="140">
        <v>0</v>
      </c>
      <c r="AG297" s="140"/>
      <c r="AH297" s="200">
        <v>0</v>
      </c>
      <c r="AI297" s="140"/>
      <c r="AJ297" s="153"/>
      <c r="AK297" s="140">
        <v>1</v>
      </c>
      <c r="AL297" s="140"/>
      <c r="AM297" s="200">
        <v>2.8E-3</v>
      </c>
      <c r="AN297" s="156"/>
      <c r="AO297" s="230">
        <v>2.8E-3</v>
      </c>
      <c r="AP297" s="223">
        <v>203</v>
      </c>
      <c r="AQ297" s="223">
        <v>173</v>
      </c>
      <c r="AR297" s="235">
        <v>0.85199999999999998</v>
      </c>
      <c r="AS297" s="223">
        <v>161</v>
      </c>
      <c r="AT297" s="235">
        <v>0.79300000000000004</v>
      </c>
      <c r="AU297" s="223">
        <v>161</v>
      </c>
      <c r="AV297" s="232">
        <v>0.79300000000000004</v>
      </c>
      <c r="AW297" s="223">
        <v>121</v>
      </c>
      <c r="AX297" s="223">
        <v>120</v>
      </c>
      <c r="AY297" s="235">
        <v>0.99199999999999999</v>
      </c>
      <c r="AZ297" s="223">
        <v>117</v>
      </c>
      <c r="BA297" s="235">
        <v>0.96699999999999997</v>
      </c>
      <c r="BB297" s="223">
        <v>117</v>
      </c>
      <c r="BC297" s="232">
        <v>0.96699999999999997</v>
      </c>
    </row>
    <row r="298" spans="1:55" x14ac:dyDescent="0.25">
      <c r="A298" s="226">
        <v>1</v>
      </c>
      <c r="B298" s="211" t="s">
        <v>117</v>
      </c>
      <c r="C298" s="211">
        <v>932</v>
      </c>
      <c r="D298" s="211" t="s">
        <v>474</v>
      </c>
      <c r="E298" s="211">
        <v>348</v>
      </c>
      <c r="F298" s="211">
        <v>352</v>
      </c>
      <c r="G298" s="211"/>
      <c r="H298" s="220" t="str">
        <f>HYPERLINK("https://map.geo.admin.ch/?zoom=7&amp;E=624000&amp;N=181100&amp;layers=ch.kantone.cadastralwebmap-farbe,ch.swisstopo.amtliches-strassenverzeichnis,ch.bfs.gebaeude_wohnungs_register,KML||https://tinyurl.com/yy7ya4g9/BE/0932_bdg_erw.kml","KML building")</f>
        <v>KML building</v>
      </c>
      <c r="I298" s="154">
        <v>0</v>
      </c>
      <c r="J298" s="243" t="s">
        <v>1259</v>
      </c>
      <c r="K298" s="153">
        <v>0</v>
      </c>
      <c r="L298" s="64">
        <v>0</v>
      </c>
      <c r="M298" s="64"/>
      <c r="N298" s="200">
        <v>0</v>
      </c>
      <c r="O298" s="155"/>
      <c r="P298" s="63"/>
      <c r="Q298" s="64">
        <v>0</v>
      </c>
      <c r="R298" s="64"/>
      <c r="S298" s="200">
        <v>0</v>
      </c>
      <c r="T298" s="155"/>
      <c r="U298" s="63"/>
      <c r="V298" s="64">
        <v>0</v>
      </c>
      <c r="W298" s="64"/>
      <c r="X298" s="200">
        <v>0</v>
      </c>
      <c r="Y298" s="155"/>
      <c r="Z298" s="63"/>
      <c r="AA298" s="64">
        <v>0</v>
      </c>
      <c r="AB298" s="64"/>
      <c r="AC298" s="200">
        <v>0</v>
      </c>
      <c r="AD298" s="156"/>
      <c r="AE298" s="153"/>
      <c r="AF298" s="140">
        <v>0</v>
      </c>
      <c r="AG298" s="140"/>
      <c r="AH298" s="200">
        <v>0</v>
      </c>
      <c r="AI298" s="140"/>
      <c r="AJ298" s="153"/>
      <c r="AK298" s="140">
        <v>0</v>
      </c>
      <c r="AL298" s="140"/>
      <c r="AM298" s="200">
        <v>0</v>
      </c>
      <c r="AN298" s="156"/>
      <c r="AO298" s="230">
        <v>0</v>
      </c>
      <c r="AP298" s="223">
        <v>235</v>
      </c>
      <c r="AQ298" s="223">
        <v>202</v>
      </c>
      <c r="AR298" s="235">
        <v>0.86</v>
      </c>
      <c r="AS298" s="223">
        <v>191</v>
      </c>
      <c r="AT298" s="235">
        <v>0.81299999999999994</v>
      </c>
      <c r="AU298" s="223">
        <v>191</v>
      </c>
      <c r="AV298" s="232">
        <v>0.81299999999999994</v>
      </c>
      <c r="AW298" s="223">
        <v>155</v>
      </c>
      <c r="AX298" s="223">
        <v>144</v>
      </c>
      <c r="AY298" s="235">
        <v>0.92900000000000005</v>
      </c>
      <c r="AZ298" s="223">
        <v>141</v>
      </c>
      <c r="BA298" s="235">
        <v>0.91</v>
      </c>
      <c r="BB298" s="223">
        <v>141</v>
      </c>
      <c r="BC298" s="232">
        <v>0.91</v>
      </c>
    </row>
    <row r="299" spans="1:55" x14ac:dyDescent="0.25">
      <c r="A299" s="226">
        <v>1</v>
      </c>
      <c r="B299" s="211" t="s">
        <v>117</v>
      </c>
      <c r="C299" s="211">
        <v>934</v>
      </c>
      <c r="D299" s="211" t="s">
        <v>475</v>
      </c>
      <c r="E299" s="211">
        <v>1295</v>
      </c>
      <c r="F299" s="211">
        <v>1312</v>
      </c>
      <c r="G299" s="211"/>
      <c r="H299" s="220" t="str">
        <f>HYPERLINK("https://map.geo.admin.ch/?zoom=7&amp;E=617600&amp;N=175500&amp;layers=ch.kantone.cadastralwebmap-farbe,ch.swisstopo.amtliches-strassenverzeichnis,ch.bfs.gebaeude_wohnungs_register,KML||https://tinyurl.com/yy7ya4g9/BE/0934_bdg_erw.kml","KML building")</f>
        <v>KML building</v>
      </c>
      <c r="I299" s="154">
        <v>0</v>
      </c>
      <c r="J299" s="243" t="s">
        <v>1260</v>
      </c>
      <c r="K299" s="153">
        <v>0</v>
      </c>
      <c r="L299" s="64">
        <v>0</v>
      </c>
      <c r="M299" s="64"/>
      <c r="N299" s="200">
        <v>0</v>
      </c>
      <c r="O299" s="155"/>
      <c r="P299" s="63"/>
      <c r="Q299" s="64">
        <v>0</v>
      </c>
      <c r="R299" s="64"/>
      <c r="S299" s="200">
        <v>0</v>
      </c>
      <c r="T299" s="155"/>
      <c r="U299" s="63"/>
      <c r="V299" s="64">
        <v>0</v>
      </c>
      <c r="W299" s="64"/>
      <c r="X299" s="200">
        <v>0</v>
      </c>
      <c r="Y299" s="155"/>
      <c r="Z299" s="63"/>
      <c r="AA299" s="64">
        <v>0</v>
      </c>
      <c r="AB299" s="64"/>
      <c r="AC299" s="200">
        <v>0</v>
      </c>
      <c r="AD299" s="156"/>
      <c r="AE299" s="153"/>
      <c r="AF299" s="140">
        <v>0</v>
      </c>
      <c r="AG299" s="140"/>
      <c r="AH299" s="200">
        <v>0</v>
      </c>
      <c r="AI299" s="140"/>
      <c r="AJ299" s="153"/>
      <c r="AK299" s="140">
        <v>0</v>
      </c>
      <c r="AL299" s="140"/>
      <c r="AM299" s="200">
        <v>0</v>
      </c>
      <c r="AN299" s="156"/>
      <c r="AO299" s="230">
        <v>0</v>
      </c>
      <c r="AP299" s="223">
        <v>433</v>
      </c>
      <c r="AQ299" s="223">
        <v>353</v>
      </c>
      <c r="AR299" s="235">
        <v>0.81499999999999995</v>
      </c>
      <c r="AS299" s="223">
        <v>340</v>
      </c>
      <c r="AT299" s="235">
        <v>0.78500000000000003</v>
      </c>
      <c r="AU299" s="223">
        <v>327</v>
      </c>
      <c r="AV299" s="232">
        <v>0.755</v>
      </c>
      <c r="AW299" s="223">
        <v>181</v>
      </c>
      <c r="AX299" s="223">
        <v>171</v>
      </c>
      <c r="AY299" s="235">
        <v>0.94499999999999995</v>
      </c>
      <c r="AZ299" s="223">
        <v>162</v>
      </c>
      <c r="BA299" s="235">
        <v>0.89500000000000002</v>
      </c>
      <c r="BB299" s="223">
        <v>162</v>
      </c>
      <c r="BC299" s="232">
        <v>0.89500000000000002</v>
      </c>
    </row>
    <row r="300" spans="1:55" x14ac:dyDescent="0.25">
      <c r="A300" s="226">
        <v>1</v>
      </c>
      <c r="B300" s="211" t="s">
        <v>117</v>
      </c>
      <c r="C300" s="211">
        <v>935</v>
      </c>
      <c r="D300" s="211" t="s">
        <v>476</v>
      </c>
      <c r="E300" s="211">
        <v>385</v>
      </c>
      <c r="F300" s="211">
        <v>386</v>
      </c>
      <c r="G300" s="211"/>
      <c r="H300" s="220" t="str">
        <f>HYPERLINK("https://map.geo.admin.ch/?zoom=7&amp;E=623500&amp;N=184200&amp;layers=ch.kantone.cadastralwebmap-farbe,ch.swisstopo.amtliches-strassenverzeichnis,ch.bfs.gebaeude_wohnungs_register,KML||https://tinyurl.com/yy7ya4g9/BE/0935_bdg_erw.kml","KML building")</f>
        <v>KML building</v>
      </c>
      <c r="I300" s="154">
        <v>0</v>
      </c>
      <c r="J300" s="243" t="s">
        <v>1261</v>
      </c>
      <c r="K300" s="153">
        <v>0</v>
      </c>
      <c r="L300" s="64">
        <v>0</v>
      </c>
      <c r="M300" s="64"/>
      <c r="N300" s="200">
        <v>0</v>
      </c>
      <c r="O300" s="155"/>
      <c r="P300" s="63"/>
      <c r="Q300" s="64">
        <v>0</v>
      </c>
      <c r="R300" s="64"/>
      <c r="S300" s="200">
        <v>0</v>
      </c>
      <c r="T300" s="155"/>
      <c r="U300" s="63"/>
      <c r="V300" s="64">
        <v>0</v>
      </c>
      <c r="W300" s="64"/>
      <c r="X300" s="200">
        <v>0</v>
      </c>
      <c r="Y300" s="155"/>
      <c r="Z300" s="63"/>
      <c r="AA300" s="64">
        <v>0</v>
      </c>
      <c r="AB300" s="64"/>
      <c r="AC300" s="200">
        <v>0</v>
      </c>
      <c r="AD300" s="156"/>
      <c r="AE300" s="153"/>
      <c r="AF300" s="140">
        <v>3</v>
      </c>
      <c r="AG300" s="140"/>
      <c r="AH300" s="200">
        <v>7.7999999999999996E-3</v>
      </c>
      <c r="AI300" s="140"/>
      <c r="AJ300" s="153"/>
      <c r="AK300" s="140">
        <v>0</v>
      </c>
      <c r="AL300" s="140"/>
      <c r="AM300" s="200">
        <v>0</v>
      </c>
      <c r="AN300" s="156"/>
      <c r="AO300" s="230">
        <v>7.7999999999999996E-3</v>
      </c>
      <c r="AP300" s="223">
        <v>224</v>
      </c>
      <c r="AQ300" s="223">
        <v>187</v>
      </c>
      <c r="AR300" s="235">
        <v>0.83499999999999996</v>
      </c>
      <c r="AS300" s="223">
        <v>179</v>
      </c>
      <c r="AT300" s="235">
        <v>0.79900000000000004</v>
      </c>
      <c r="AU300" s="223">
        <v>177</v>
      </c>
      <c r="AV300" s="232">
        <v>0.79</v>
      </c>
      <c r="AW300" s="223">
        <v>145</v>
      </c>
      <c r="AX300" s="223">
        <v>139</v>
      </c>
      <c r="AY300" s="235">
        <v>0.95899999999999996</v>
      </c>
      <c r="AZ300" s="223">
        <v>134</v>
      </c>
      <c r="BA300" s="235">
        <v>0.92400000000000004</v>
      </c>
      <c r="BB300" s="223">
        <v>132</v>
      </c>
      <c r="BC300" s="232">
        <v>0.91</v>
      </c>
    </row>
    <row r="301" spans="1:55" x14ac:dyDescent="0.25">
      <c r="A301" s="226">
        <v>1</v>
      </c>
      <c r="B301" s="211" t="s">
        <v>117</v>
      </c>
      <c r="C301" s="211">
        <v>936</v>
      </c>
      <c r="D301" s="211" t="s">
        <v>477</v>
      </c>
      <c r="E301" s="211">
        <v>210</v>
      </c>
      <c r="F301" s="211">
        <v>210</v>
      </c>
      <c r="G301" s="211"/>
      <c r="H301" s="220" t="str">
        <f>HYPERLINK("https://map.geo.admin.ch/?zoom=7&amp;E=607800&amp;N=174700&amp;layers=ch.kantone.cadastralwebmap-farbe,ch.swisstopo.amtliches-strassenverzeichnis,ch.bfs.gebaeude_wohnungs_register,KML||https://tinyurl.com/yy7ya4g9/BE/0936_bdg_erw.kml","KML building")</f>
        <v>KML building</v>
      </c>
      <c r="I301" s="154">
        <v>0</v>
      </c>
      <c r="J301" s="243" t="s">
        <v>1262</v>
      </c>
      <c r="K301" s="153">
        <v>0</v>
      </c>
      <c r="L301" s="64">
        <v>0</v>
      </c>
      <c r="M301" s="64"/>
      <c r="N301" s="200">
        <v>0</v>
      </c>
      <c r="O301" s="155"/>
      <c r="P301" s="63"/>
      <c r="Q301" s="64">
        <v>0</v>
      </c>
      <c r="R301" s="64"/>
      <c r="S301" s="200">
        <v>0</v>
      </c>
      <c r="T301" s="155"/>
      <c r="U301" s="63"/>
      <c r="V301" s="64">
        <v>0</v>
      </c>
      <c r="W301" s="64"/>
      <c r="X301" s="200">
        <v>0</v>
      </c>
      <c r="Y301" s="155"/>
      <c r="Z301" s="63"/>
      <c r="AA301" s="64">
        <v>0</v>
      </c>
      <c r="AB301" s="64"/>
      <c r="AC301" s="200">
        <v>0</v>
      </c>
      <c r="AD301" s="156"/>
      <c r="AE301" s="153"/>
      <c r="AF301" s="140">
        <v>0</v>
      </c>
      <c r="AG301" s="140"/>
      <c r="AH301" s="200">
        <v>0</v>
      </c>
      <c r="AI301" s="140"/>
      <c r="AJ301" s="153"/>
      <c r="AK301" s="140">
        <v>0</v>
      </c>
      <c r="AL301" s="140"/>
      <c r="AM301" s="200">
        <v>0</v>
      </c>
      <c r="AN301" s="156"/>
      <c r="AO301" s="230">
        <v>0</v>
      </c>
      <c r="AP301" s="223">
        <v>110</v>
      </c>
      <c r="AQ301" s="223">
        <v>108</v>
      </c>
      <c r="AR301" s="235">
        <v>0.98199999999999998</v>
      </c>
      <c r="AS301" s="223">
        <v>88</v>
      </c>
      <c r="AT301" s="235">
        <v>0.8</v>
      </c>
      <c r="AU301" s="223">
        <v>88</v>
      </c>
      <c r="AV301" s="232">
        <v>0.8</v>
      </c>
      <c r="AW301" s="223">
        <v>70</v>
      </c>
      <c r="AX301" s="223">
        <v>68</v>
      </c>
      <c r="AY301" s="235">
        <v>0.97099999999999997</v>
      </c>
      <c r="AZ301" s="223">
        <v>65</v>
      </c>
      <c r="BA301" s="235">
        <v>0.92900000000000005</v>
      </c>
      <c r="BB301" s="223">
        <v>65</v>
      </c>
      <c r="BC301" s="232">
        <v>0.92900000000000005</v>
      </c>
    </row>
    <row r="302" spans="1:55" x14ac:dyDescent="0.25">
      <c r="A302" s="226">
        <v>1</v>
      </c>
      <c r="B302" s="211" t="s">
        <v>117</v>
      </c>
      <c r="C302" s="211">
        <v>938</v>
      </c>
      <c r="D302" s="211" t="s">
        <v>478</v>
      </c>
      <c r="E302" s="211">
        <v>3851</v>
      </c>
      <c r="F302" s="211">
        <v>3862</v>
      </c>
      <c r="G302" s="211"/>
      <c r="H302" s="220" t="str">
        <f>HYPERLINK("https://map.geo.admin.ch/?zoom=7&amp;E=621100&amp;N=174000&amp;layers=ch.kantone.cadastralwebmap-farbe,ch.swisstopo.amtliches-strassenverzeichnis,ch.bfs.gebaeude_wohnungs_register,KML||https://tinyurl.com/yy7ya4g9/BE/0938_bdg_erw.kml","KML building")</f>
        <v>KML building</v>
      </c>
      <c r="I302" s="154">
        <v>7</v>
      </c>
      <c r="J302" s="243" t="s">
        <v>1263</v>
      </c>
      <c r="K302" s="153">
        <v>1.8177096857958971E-3</v>
      </c>
      <c r="L302" s="64">
        <v>0</v>
      </c>
      <c r="M302" s="64"/>
      <c r="N302" s="200">
        <v>0</v>
      </c>
      <c r="O302" s="155"/>
      <c r="P302" s="63"/>
      <c r="Q302" s="64">
        <v>0</v>
      </c>
      <c r="R302" s="64"/>
      <c r="S302" s="200">
        <v>0</v>
      </c>
      <c r="T302" s="155"/>
      <c r="U302" s="63"/>
      <c r="V302" s="64">
        <v>0</v>
      </c>
      <c r="W302" s="64"/>
      <c r="X302" s="200">
        <v>0</v>
      </c>
      <c r="Y302" s="155"/>
      <c r="Z302" s="63"/>
      <c r="AA302" s="64">
        <v>0</v>
      </c>
      <c r="AB302" s="64"/>
      <c r="AC302" s="200">
        <v>0</v>
      </c>
      <c r="AD302" s="156"/>
      <c r="AE302" s="153"/>
      <c r="AF302" s="140">
        <v>15</v>
      </c>
      <c r="AG302" s="140"/>
      <c r="AH302" s="200">
        <v>3.8999999999999998E-3</v>
      </c>
      <c r="AI302" s="140"/>
      <c r="AJ302" s="153"/>
      <c r="AK302" s="140">
        <v>3</v>
      </c>
      <c r="AL302" s="140"/>
      <c r="AM302" s="200">
        <v>8.0000000000000004E-4</v>
      </c>
      <c r="AN302" s="156"/>
      <c r="AO302" s="230">
        <v>4.7000000000000002E-3</v>
      </c>
      <c r="AP302" s="223">
        <v>1799</v>
      </c>
      <c r="AQ302" s="223">
        <v>1470</v>
      </c>
      <c r="AR302" s="235">
        <v>0.81699999999999995</v>
      </c>
      <c r="AS302" s="223">
        <v>1435</v>
      </c>
      <c r="AT302" s="235">
        <v>0.79800000000000004</v>
      </c>
      <c r="AU302" s="223">
        <v>1344</v>
      </c>
      <c r="AV302" s="232">
        <v>0.747</v>
      </c>
      <c r="AW302" s="223">
        <v>1041</v>
      </c>
      <c r="AX302" s="223">
        <v>1013</v>
      </c>
      <c r="AY302" s="235">
        <v>0.97299999999999998</v>
      </c>
      <c r="AZ302" s="223">
        <v>945</v>
      </c>
      <c r="BA302" s="235">
        <v>0.90800000000000003</v>
      </c>
      <c r="BB302" s="223">
        <v>940</v>
      </c>
      <c r="BC302" s="232">
        <v>0.90300000000000002</v>
      </c>
    </row>
    <row r="303" spans="1:55" x14ac:dyDescent="0.25">
      <c r="A303" s="226">
        <v>1</v>
      </c>
      <c r="B303" s="211" t="s">
        <v>117</v>
      </c>
      <c r="C303" s="211">
        <v>939</v>
      </c>
      <c r="D303" s="211" t="s">
        <v>479</v>
      </c>
      <c r="E303" s="211">
        <v>5918</v>
      </c>
      <c r="F303" s="211">
        <v>5978</v>
      </c>
      <c r="G303" s="211"/>
      <c r="H303" s="220" t="str">
        <f>HYPERLINK("https://map.geo.admin.ch/?zoom=7&amp;E=615000&amp;N=180700&amp;layers=ch.kantone.cadastralwebmap-farbe,ch.swisstopo.amtliches-strassenverzeichnis,ch.bfs.gebaeude_wohnungs_register,KML||https://tinyurl.com/yy7ya4g9/BE/0939_bdg_erw.kml","KML building")</f>
        <v>KML building</v>
      </c>
      <c r="I303" s="154">
        <v>0</v>
      </c>
      <c r="J303" s="243" t="s">
        <v>1264</v>
      </c>
      <c r="K303" s="153">
        <v>0</v>
      </c>
      <c r="L303" s="64">
        <v>0</v>
      </c>
      <c r="M303" s="64"/>
      <c r="N303" s="200">
        <v>0</v>
      </c>
      <c r="O303" s="155"/>
      <c r="P303" s="63"/>
      <c r="Q303" s="64">
        <v>0</v>
      </c>
      <c r="R303" s="64"/>
      <c r="S303" s="200">
        <v>0</v>
      </c>
      <c r="T303" s="155"/>
      <c r="U303" s="63"/>
      <c r="V303" s="64">
        <v>0</v>
      </c>
      <c r="W303" s="64"/>
      <c r="X303" s="200">
        <v>0</v>
      </c>
      <c r="Y303" s="155"/>
      <c r="Z303" s="63"/>
      <c r="AA303" s="64">
        <v>2</v>
      </c>
      <c r="AB303" s="64"/>
      <c r="AC303" s="200">
        <v>2.9999999999999997E-4</v>
      </c>
      <c r="AD303" s="156"/>
      <c r="AE303" s="153"/>
      <c r="AF303" s="140">
        <v>22</v>
      </c>
      <c r="AG303" s="140"/>
      <c r="AH303" s="200">
        <v>3.7000000000000002E-3</v>
      </c>
      <c r="AI303" s="140"/>
      <c r="AJ303" s="153"/>
      <c r="AK303" s="140">
        <v>3</v>
      </c>
      <c r="AL303" s="140"/>
      <c r="AM303" s="200">
        <v>5.0000000000000001E-4</v>
      </c>
      <c r="AN303" s="156"/>
      <c r="AO303" s="230">
        <v>4.5000000000000005E-3</v>
      </c>
      <c r="AP303" s="223">
        <v>2063</v>
      </c>
      <c r="AQ303" s="223">
        <v>1688</v>
      </c>
      <c r="AR303" s="235">
        <v>0.81799999999999995</v>
      </c>
      <c r="AS303" s="223">
        <v>1459</v>
      </c>
      <c r="AT303" s="235">
        <v>0.70699999999999996</v>
      </c>
      <c r="AU303" s="223">
        <v>1431</v>
      </c>
      <c r="AV303" s="232">
        <v>0.69399999999999995</v>
      </c>
      <c r="AW303" s="223">
        <v>856</v>
      </c>
      <c r="AX303" s="223">
        <v>808</v>
      </c>
      <c r="AY303" s="235">
        <v>0.94399999999999995</v>
      </c>
      <c r="AZ303" s="223">
        <v>725</v>
      </c>
      <c r="BA303" s="235">
        <v>0.84699999999999998</v>
      </c>
      <c r="BB303" s="223">
        <v>712</v>
      </c>
      <c r="BC303" s="232">
        <v>0.83199999999999996</v>
      </c>
    </row>
    <row r="304" spans="1:55" x14ac:dyDescent="0.25">
      <c r="A304" s="226">
        <v>1</v>
      </c>
      <c r="B304" s="211" t="s">
        <v>117</v>
      </c>
      <c r="C304" s="211">
        <v>940</v>
      </c>
      <c r="D304" s="211" t="s">
        <v>480</v>
      </c>
      <c r="E304" s="211">
        <v>169</v>
      </c>
      <c r="F304" s="211">
        <v>169</v>
      </c>
      <c r="G304" s="211"/>
      <c r="H304" s="220" t="str">
        <f>HYPERLINK("https://map.geo.admin.ch/?zoom=7&amp;E=620800&amp;N=179600&amp;layers=ch.kantone.cadastralwebmap-farbe,ch.swisstopo.amtliches-strassenverzeichnis,ch.bfs.gebaeude_wohnungs_register,KML||https://tinyurl.com/yy7ya4g9/BE/0940_bdg_erw.kml","KML building")</f>
        <v>KML building</v>
      </c>
      <c r="I304" s="154">
        <v>0</v>
      </c>
      <c r="J304" s="243" t="s">
        <v>1265</v>
      </c>
      <c r="K304" s="153">
        <v>0</v>
      </c>
      <c r="L304" s="64">
        <v>0</v>
      </c>
      <c r="M304" s="64"/>
      <c r="N304" s="200">
        <v>0</v>
      </c>
      <c r="O304" s="155"/>
      <c r="P304" s="63"/>
      <c r="Q304" s="64">
        <v>0</v>
      </c>
      <c r="R304" s="64"/>
      <c r="S304" s="200">
        <v>0</v>
      </c>
      <c r="T304" s="155"/>
      <c r="U304" s="63"/>
      <c r="V304" s="64">
        <v>0</v>
      </c>
      <c r="W304" s="64"/>
      <c r="X304" s="200">
        <v>0</v>
      </c>
      <c r="Y304" s="155"/>
      <c r="Z304" s="63"/>
      <c r="AA304" s="64">
        <v>0</v>
      </c>
      <c r="AB304" s="64"/>
      <c r="AC304" s="200">
        <v>0</v>
      </c>
      <c r="AD304" s="156"/>
      <c r="AE304" s="153"/>
      <c r="AF304" s="140">
        <v>0</v>
      </c>
      <c r="AG304" s="140"/>
      <c r="AH304" s="200">
        <v>0</v>
      </c>
      <c r="AI304" s="140"/>
      <c r="AJ304" s="153"/>
      <c r="AK304" s="140">
        <v>0</v>
      </c>
      <c r="AL304" s="140"/>
      <c r="AM304" s="200">
        <v>0</v>
      </c>
      <c r="AN304" s="156"/>
      <c r="AO304" s="230">
        <v>0</v>
      </c>
      <c r="AP304" s="223">
        <v>99</v>
      </c>
      <c r="AQ304" s="223">
        <v>84</v>
      </c>
      <c r="AR304" s="235">
        <v>0.84799999999999998</v>
      </c>
      <c r="AS304" s="223">
        <v>81</v>
      </c>
      <c r="AT304" s="235">
        <v>0.81799999999999995</v>
      </c>
      <c r="AU304" s="223">
        <v>80</v>
      </c>
      <c r="AV304" s="232">
        <v>0.80800000000000005</v>
      </c>
      <c r="AW304" s="223">
        <v>61</v>
      </c>
      <c r="AX304" s="223">
        <v>51</v>
      </c>
      <c r="AY304" s="235">
        <v>0.83599999999999997</v>
      </c>
      <c r="AZ304" s="223">
        <v>51</v>
      </c>
      <c r="BA304" s="235">
        <v>0.83599999999999997</v>
      </c>
      <c r="BB304" s="223">
        <v>50</v>
      </c>
      <c r="BC304" s="232">
        <v>0.82</v>
      </c>
    </row>
    <row r="305" spans="1:55" x14ac:dyDescent="0.25">
      <c r="A305" s="226">
        <v>1</v>
      </c>
      <c r="B305" s="211" t="s">
        <v>117</v>
      </c>
      <c r="C305" s="211">
        <v>941</v>
      </c>
      <c r="D305" s="211" t="s">
        <v>481</v>
      </c>
      <c r="E305" s="211">
        <v>1234</v>
      </c>
      <c r="F305" s="211">
        <v>1253</v>
      </c>
      <c r="G305" s="211"/>
      <c r="H305" s="220" t="str">
        <f>HYPERLINK("https://map.geo.admin.ch/?zoom=7&amp;E=610200&amp;N=177900&amp;layers=ch.kantone.cadastralwebmap-farbe,ch.swisstopo.amtliches-strassenverzeichnis,ch.bfs.gebaeude_wohnungs_register,KML||https://tinyurl.com/yy7ya4g9/BE/0941_bdg_erw.kml","KML building")</f>
        <v>KML building</v>
      </c>
      <c r="I305" s="154">
        <v>1</v>
      </c>
      <c r="J305" s="243" t="s">
        <v>1266</v>
      </c>
      <c r="K305" s="153">
        <v>8.1037277147487841E-4</v>
      </c>
      <c r="L305" s="64">
        <v>0</v>
      </c>
      <c r="M305" s="64"/>
      <c r="N305" s="200">
        <v>0</v>
      </c>
      <c r="O305" s="155"/>
      <c r="P305" s="63"/>
      <c r="Q305" s="64">
        <v>0</v>
      </c>
      <c r="R305" s="64"/>
      <c r="S305" s="200">
        <v>0</v>
      </c>
      <c r="T305" s="155"/>
      <c r="U305" s="63"/>
      <c r="V305" s="64">
        <v>0</v>
      </c>
      <c r="W305" s="64"/>
      <c r="X305" s="200">
        <v>0</v>
      </c>
      <c r="Y305" s="155"/>
      <c r="Z305" s="63"/>
      <c r="AA305" s="64">
        <v>0</v>
      </c>
      <c r="AB305" s="64"/>
      <c r="AC305" s="200">
        <v>0</v>
      </c>
      <c r="AD305" s="156"/>
      <c r="AE305" s="153"/>
      <c r="AF305" s="140">
        <v>3</v>
      </c>
      <c r="AG305" s="140"/>
      <c r="AH305" s="200">
        <v>2.3999999999999998E-3</v>
      </c>
      <c r="AI305" s="140"/>
      <c r="AJ305" s="153"/>
      <c r="AK305" s="140">
        <v>0</v>
      </c>
      <c r="AL305" s="140"/>
      <c r="AM305" s="200">
        <v>0</v>
      </c>
      <c r="AN305" s="156"/>
      <c r="AO305" s="230">
        <v>2.3999999999999998E-3</v>
      </c>
      <c r="AP305" s="223">
        <v>542</v>
      </c>
      <c r="AQ305" s="223">
        <v>517</v>
      </c>
      <c r="AR305" s="235">
        <v>0.95399999999999996</v>
      </c>
      <c r="AS305" s="223">
        <v>445</v>
      </c>
      <c r="AT305" s="235">
        <v>0.82099999999999995</v>
      </c>
      <c r="AU305" s="223">
        <v>444</v>
      </c>
      <c r="AV305" s="232">
        <v>0.81899999999999995</v>
      </c>
      <c r="AW305" s="223">
        <v>251</v>
      </c>
      <c r="AX305" s="223">
        <v>244</v>
      </c>
      <c r="AY305" s="235">
        <v>0.97199999999999998</v>
      </c>
      <c r="AZ305" s="223">
        <v>216</v>
      </c>
      <c r="BA305" s="235">
        <v>0.86099999999999999</v>
      </c>
      <c r="BB305" s="223">
        <v>215</v>
      </c>
      <c r="BC305" s="232">
        <v>0.85699999999999998</v>
      </c>
    </row>
    <row r="306" spans="1:55" x14ac:dyDescent="0.25">
      <c r="A306" s="226">
        <v>1</v>
      </c>
      <c r="B306" s="211" t="s">
        <v>117</v>
      </c>
      <c r="C306" s="211">
        <v>942</v>
      </c>
      <c r="D306" s="211" t="s">
        <v>482</v>
      </c>
      <c r="E306" s="211">
        <v>12851</v>
      </c>
      <c r="F306" s="211">
        <v>12961</v>
      </c>
      <c r="G306" s="211"/>
      <c r="H306" s="220" t="str">
        <f>HYPERLINK("https://map.geo.admin.ch/?zoom=7&amp;E=614200&amp;N=178400&amp;layers=ch.kantone.cadastralwebmap-farbe,ch.swisstopo.amtliches-strassenverzeichnis,ch.bfs.gebaeude_wohnungs_register,KML||https://tinyurl.com/yy7ya4g9/BE/0942_bdg_erw.kml","KML building")</f>
        <v>KML building</v>
      </c>
      <c r="I306" s="154">
        <v>7</v>
      </c>
      <c r="J306" s="243" t="s">
        <v>1267</v>
      </c>
      <c r="K306" s="153">
        <v>5.4470469224184893E-4</v>
      </c>
      <c r="L306" s="64">
        <v>0</v>
      </c>
      <c r="M306" s="64"/>
      <c r="N306" s="200">
        <v>0</v>
      </c>
      <c r="O306" s="155"/>
      <c r="P306" s="63"/>
      <c r="Q306" s="64">
        <v>0</v>
      </c>
      <c r="R306" s="64"/>
      <c r="S306" s="200">
        <v>0</v>
      </c>
      <c r="T306" s="155"/>
      <c r="U306" s="63"/>
      <c r="V306" s="64">
        <v>0</v>
      </c>
      <c r="W306" s="64"/>
      <c r="X306" s="200">
        <v>0</v>
      </c>
      <c r="Y306" s="155"/>
      <c r="Z306" s="63"/>
      <c r="AA306" s="64">
        <v>0</v>
      </c>
      <c r="AB306" s="64"/>
      <c r="AC306" s="200">
        <v>0</v>
      </c>
      <c r="AD306" s="156"/>
      <c r="AE306" s="153"/>
      <c r="AF306" s="140">
        <v>15</v>
      </c>
      <c r="AG306" s="140"/>
      <c r="AH306" s="200">
        <v>1.1999999999999999E-3</v>
      </c>
      <c r="AI306" s="140"/>
      <c r="AJ306" s="153"/>
      <c r="AK306" s="140">
        <v>5</v>
      </c>
      <c r="AL306" s="140"/>
      <c r="AM306" s="200">
        <v>4.0000000000000002E-4</v>
      </c>
      <c r="AN306" s="156"/>
      <c r="AO306" s="230">
        <v>1.5999999999999999E-3</v>
      </c>
      <c r="AP306" s="223">
        <v>4239</v>
      </c>
      <c r="AQ306" s="223">
        <v>3453</v>
      </c>
      <c r="AR306" s="235">
        <v>0.81499999999999995</v>
      </c>
      <c r="AS306" s="223">
        <v>3368</v>
      </c>
      <c r="AT306" s="235">
        <v>0.79500000000000004</v>
      </c>
      <c r="AU306" s="223">
        <v>2821</v>
      </c>
      <c r="AV306" s="232">
        <v>0.66500000000000004</v>
      </c>
      <c r="AW306" s="223">
        <v>2044</v>
      </c>
      <c r="AX306" s="223">
        <v>1791</v>
      </c>
      <c r="AY306" s="235">
        <v>0.876</v>
      </c>
      <c r="AZ306" s="223">
        <v>1634</v>
      </c>
      <c r="BA306" s="235">
        <v>0.79900000000000004</v>
      </c>
      <c r="BB306" s="223">
        <v>1405</v>
      </c>
      <c r="BC306" s="232">
        <v>0.68700000000000006</v>
      </c>
    </row>
    <row r="307" spans="1:55" x14ac:dyDescent="0.25">
      <c r="A307" s="226">
        <v>1</v>
      </c>
      <c r="B307" s="211" t="s">
        <v>117</v>
      </c>
      <c r="C307" s="211">
        <v>943</v>
      </c>
      <c r="D307" s="211" t="s">
        <v>483</v>
      </c>
      <c r="E307" s="211">
        <v>468</v>
      </c>
      <c r="F307" s="211">
        <v>473</v>
      </c>
      <c r="G307" s="211"/>
      <c r="H307" s="220" t="str">
        <f>HYPERLINK("https://map.geo.admin.ch/?zoom=7&amp;E=608900&amp;N=176300&amp;layers=ch.kantone.cadastralwebmap-farbe,ch.swisstopo.amtliches-strassenverzeichnis,ch.bfs.gebaeude_wohnungs_register,KML||https://tinyurl.com/yy7ya4g9/BE/0943_bdg_erw.kml","KML building")</f>
        <v>KML building</v>
      </c>
      <c r="I307" s="154">
        <v>0</v>
      </c>
      <c r="J307" s="243" t="s">
        <v>1268</v>
      </c>
      <c r="K307" s="153">
        <v>0</v>
      </c>
      <c r="L307" s="64">
        <v>0</v>
      </c>
      <c r="M307" s="64"/>
      <c r="N307" s="200">
        <v>0</v>
      </c>
      <c r="O307" s="155"/>
      <c r="P307" s="63"/>
      <c r="Q307" s="64">
        <v>0</v>
      </c>
      <c r="R307" s="64"/>
      <c r="S307" s="200">
        <v>0</v>
      </c>
      <c r="T307" s="155"/>
      <c r="U307" s="63"/>
      <c r="V307" s="64">
        <v>0</v>
      </c>
      <c r="W307" s="64"/>
      <c r="X307" s="200">
        <v>0</v>
      </c>
      <c r="Y307" s="155"/>
      <c r="Z307" s="63"/>
      <c r="AA307" s="64">
        <v>0</v>
      </c>
      <c r="AB307" s="64"/>
      <c r="AC307" s="200">
        <v>0</v>
      </c>
      <c r="AD307" s="156"/>
      <c r="AE307" s="153"/>
      <c r="AF307" s="140">
        <v>0</v>
      </c>
      <c r="AG307" s="140"/>
      <c r="AH307" s="200">
        <v>0</v>
      </c>
      <c r="AI307" s="140"/>
      <c r="AJ307" s="153"/>
      <c r="AK307" s="140">
        <v>2</v>
      </c>
      <c r="AL307" s="140"/>
      <c r="AM307" s="200">
        <v>4.3E-3</v>
      </c>
      <c r="AN307" s="156"/>
      <c r="AO307" s="230">
        <v>4.3E-3</v>
      </c>
      <c r="AP307" s="223">
        <v>240</v>
      </c>
      <c r="AQ307" s="223">
        <v>219</v>
      </c>
      <c r="AR307" s="235">
        <v>0.91300000000000003</v>
      </c>
      <c r="AS307" s="223">
        <v>191</v>
      </c>
      <c r="AT307" s="235">
        <v>0.79600000000000004</v>
      </c>
      <c r="AU307" s="223">
        <v>191</v>
      </c>
      <c r="AV307" s="232">
        <v>0.79600000000000004</v>
      </c>
      <c r="AW307" s="223">
        <v>133</v>
      </c>
      <c r="AX307" s="223">
        <v>126</v>
      </c>
      <c r="AY307" s="235">
        <v>0.94699999999999995</v>
      </c>
      <c r="AZ307" s="223">
        <v>117</v>
      </c>
      <c r="BA307" s="235">
        <v>0.88</v>
      </c>
      <c r="BB307" s="223">
        <v>117</v>
      </c>
      <c r="BC307" s="232">
        <v>0.88</v>
      </c>
    </row>
    <row r="308" spans="1:55" x14ac:dyDescent="0.25">
      <c r="A308" s="226">
        <v>1</v>
      </c>
      <c r="B308" s="211" t="s">
        <v>117</v>
      </c>
      <c r="C308" s="211">
        <v>944</v>
      </c>
      <c r="D308" s="211" t="s">
        <v>484</v>
      </c>
      <c r="E308" s="211">
        <v>2661</v>
      </c>
      <c r="F308" s="211">
        <v>2696</v>
      </c>
      <c r="G308" s="211"/>
      <c r="H308" s="220" t="str">
        <f>HYPERLINK("https://map.geo.admin.ch/?zoom=7&amp;E=610200&amp;N=180400&amp;layers=ch.kantone.cadastralwebmap-farbe,ch.swisstopo.amtliches-strassenverzeichnis,ch.bfs.gebaeude_wohnungs_register,KML||https://tinyurl.com/yy7ya4g9/BE/0944_bdg_erw.kml","KML building")</f>
        <v>KML building</v>
      </c>
      <c r="I308" s="154">
        <v>0</v>
      </c>
      <c r="J308" s="243" t="s">
        <v>1269</v>
      </c>
      <c r="K308" s="153">
        <v>0</v>
      </c>
      <c r="L308" s="64">
        <v>0</v>
      </c>
      <c r="M308" s="64"/>
      <c r="N308" s="200">
        <v>0</v>
      </c>
      <c r="O308" s="155"/>
      <c r="P308" s="63"/>
      <c r="Q308" s="64">
        <v>0</v>
      </c>
      <c r="R308" s="64"/>
      <c r="S308" s="200">
        <v>0</v>
      </c>
      <c r="T308" s="155"/>
      <c r="U308" s="63"/>
      <c r="V308" s="64">
        <v>0</v>
      </c>
      <c r="W308" s="64"/>
      <c r="X308" s="200">
        <v>0</v>
      </c>
      <c r="Y308" s="155"/>
      <c r="Z308" s="63"/>
      <c r="AA308" s="64">
        <v>0</v>
      </c>
      <c r="AB308" s="64"/>
      <c r="AC308" s="200">
        <v>0</v>
      </c>
      <c r="AD308" s="156"/>
      <c r="AE308" s="153"/>
      <c r="AF308" s="140">
        <v>9</v>
      </c>
      <c r="AG308" s="140"/>
      <c r="AH308" s="200">
        <v>3.3999999999999998E-3</v>
      </c>
      <c r="AI308" s="140"/>
      <c r="AJ308" s="153"/>
      <c r="AK308" s="140">
        <v>0</v>
      </c>
      <c r="AL308" s="140"/>
      <c r="AM308" s="200">
        <v>0</v>
      </c>
      <c r="AN308" s="156"/>
      <c r="AO308" s="230">
        <v>3.3999999999999998E-3</v>
      </c>
      <c r="AP308" s="223">
        <v>1005</v>
      </c>
      <c r="AQ308" s="223">
        <v>842</v>
      </c>
      <c r="AR308" s="235">
        <v>0.83799999999999997</v>
      </c>
      <c r="AS308" s="223">
        <v>789</v>
      </c>
      <c r="AT308" s="235">
        <v>0.78500000000000003</v>
      </c>
      <c r="AU308" s="223">
        <v>770</v>
      </c>
      <c r="AV308" s="232">
        <v>0.76600000000000001</v>
      </c>
      <c r="AW308" s="223">
        <v>513</v>
      </c>
      <c r="AX308" s="223">
        <v>467</v>
      </c>
      <c r="AY308" s="235">
        <v>0.91</v>
      </c>
      <c r="AZ308" s="223">
        <v>448</v>
      </c>
      <c r="BA308" s="235">
        <v>0.873</v>
      </c>
      <c r="BB308" s="223">
        <v>431</v>
      </c>
      <c r="BC308" s="232">
        <v>0.84</v>
      </c>
    </row>
    <row r="309" spans="1:55" x14ac:dyDescent="0.25">
      <c r="A309" s="226">
        <v>1</v>
      </c>
      <c r="B309" s="211" t="s">
        <v>117</v>
      </c>
      <c r="C309" s="211">
        <v>945</v>
      </c>
      <c r="D309" s="211" t="s">
        <v>485</v>
      </c>
      <c r="E309" s="211">
        <v>686</v>
      </c>
      <c r="F309" s="211">
        <v>686</v>
      </c>
      <c r="G309" s="211"/>
      <c r="H309" s="220" t="str">
        <f>HYPERLINK("https://map.geo.admin.ch/?zoom=7&amp;E=620000&amp;N=182800&amp;layers=ch.kantone.cadastralwebmap-farbe,ch.swisstopo.amtliches-strassenverzeichnis,ch.bfs.gebaeude_wohnungs_register,KML||https://tinyurl.com/yy7ya4g9/BE/0945_bdg_erw.kml","KML building")</f>
        <v>KML building</v>
      </c>
      <c r="I309" s="154">
        <v>9</v>
      </c>
      <c r="J309" s="243" t="s">
        <v>1270</v>
      </c>
      <c r="K309" s="153">
        <v>1.3119533527696793E-2</v>
      </c>
      <c r="L309" s="64">
        <v>0</v>
      </c>
      <c r="M309" s="64"/>
      <c r="N309" s="200">
        <v>0</v>
      </c>
      <c r="O309" s="155"/>
      <c r="P309" s="63"/>
      <c r="Q309" s="64">
        <v>0</v>
      </c>
      <c r="R309" s="64"/>
      <c r="S309" s="200">
        <v>0</v>
      </c>
      <c r="T309" s="155"/>
      <c r="U309" s="63"/>
      <c r="V309" s="64">
        <v>0</v>
      </c>
      <c r="W309" s="64"/>
      <c r="X309" s="200">
        <v>0</v>
      </c>
      <c r="Y309" s="155"/>
      <c r="Z309" s="63"/>
      <c r="AA309" s="64">
        <v>0</v>
      </c>
      <c r="AB309" s="64"/>
      <c r="AC309" s="200">
        <v>0</v>
      </c>
      <c r="AD309" s="156"/>
      <c r="AE309" s="153"/>
      <c r="AF309" s="140">
        <v>2</v>
      </c>
      <c r="AG309" s="140"/>
      <c r="AH309" s="200">
        <v>2.8999999999999998E-3</v>
      </c>
      <c r="AI309" s="140"/>
      <c r="AJ309" s="153"/>
      <c r="AK309" s="140">
        <v>0</v>
      </c>
      <c r="AL309" s="140"/>
      <c r="AM309" s="200">
        <v>0</v>
      </c>
      <c r="AN309" s="156"/>
      <c r="AO309" s="230">
        <v>2.8999999999999998E-3</v>
      </c>
      <c r="AP309" s="223">
        <v>345</v>
      </c>
      <c r="AQ309" s="223">
        <v>292</v>
      </c>
      <c r="AR309" s="235">
        <v>0.84599999999999997</v>
      </c>
      <c r="AS309" s="223">
        <v>272</v>
      </c>
      <c r="AT309" s="235">
        <v>0.78800000000000003</v>
      </c>
      <c r="AU309" s="223">
        <v>271</v>
      </c>
      <c r="AV309" s="232">
        <v>0.78600000000000003</v>
      </c>
      <c r="AW309" s="223">
        <v>203</v>
      </c>
      <c r="AX309" s="223">
        <v>193</v>
      </c>
      <c r="AY309" s="235">
        <v>0.95099999999999996</v>
      </c>
      <c r="AZ309" s="223">
        <v>188</v>
      </c>
      <c r="BA309" s="235">
        <v>0.92600000000000005</v>
      </c>
      <c r="BB309" s="223">
        <v>187</v>
      </c>
      <c r="BC309" s="232">
        <v>0.92100000000000004</v>
      </c>
    </row>
    <row r="310" spans="1:55" x14ac:dyDescent="0.25">
      <c r="A310" s="226">
        <v>1</v>
      </c>
      <c r="B310" s="211" t="s">
        <v>117</v>
      </c>
      <c r="C310" s="211">
        <v>946</v>
      </c>
      <c r="D310" s="211" t="s">
        <v>486</v>
      </c>
      <c r="E310" s="211">
        <v>217</v>
      </c>
      <c r="F310" s="211">
        <v>217</v>
      </c>
      <c r="G310" s="211"/>
      <c r="H310" s="220" t="str">
        <f>HYPERLINK("https://map.geo.admin.ch/?zoom=7&amp;E=622300&amp;N=185600&amp;layers=ch.kantone.cadastralwebmap-farbe,ch.swisstopo.amtliches-strassenverzeichnis,ch.bfs.gebaeude_wohnungs_register,KML||https://tinyurl.com/yy7ya4g9/BE/0946_bdg_erw.kml","KML building")</f>
        <v>KML building</v>
      </c>
      <c r="I310" s="154">
        <v>0</v>
      </c>
      <c r="J310" s="243" t="s">
        <v>1271</v>
      </c>
      <c r="K310" s="153">
        <v>0</v>
      </c>
      <c r="L310" s="64">
        <v>0</v>
      </c>
      <c r="M310" s="64"/>
      <c r="N310" s="200">
        <v>0</v>
      </c>
      <c r="O310" s="155"/>
      <c r="P310" s="63"/>
      <c r="Q310" s="64">
        <v>0</v>
      </c>
      <c r="R310" s="64"/>
      <c r="S310" s="200">
        <v>0</v>
      </c>
      <c r="T310" s="155"/>
      <c r="U310" s="63"/>
      <c r="V310" s="64">
        <v>0</v>
      </c>
      <c r="W310" s="64"/>
      <c r="X310" s="200">
        <v>0</v>
      </c>
      <c r="Y310" s="155"/>
      <c r="Z310" s="63"/>
      <c r="AA310" s="64">
        <v>0</v>
      </c>
      <c r="AB310" s="64"/>
      <c r="AC310" s="200">
        <v>0</v>
      </c>
      <c r="AD310" s="156"/>
      <c r="AE310" s="153"/>
      <c r="AF310" s="140">
        <v>2</v>
      </c>
      <c r="AG310" s="140"/>
      <c r="AH310" s="200">
        <v>9.1999999999999998E-3</v>
      </c>
      <c r="AI310" s="140"/>
      <c r="AJ310" s="153"/>
      <c r="AK310" s="140">
        <v>0</v>
      </c>
      <c r="AL310" s="140"/>
      <c r="AM310" s="200">
        <v>0</v>
      </c>
      <c r="AN310" s="156"/>
      <c r="AO310" s="230">
        <v>9.1999999999999998E-3</v>
      </c>
      <c r="AP310" s="223">
        <v>130</v>
      </c>
      <c r="AQ310" s="223">
        <v>129</v>
      </c>
      <c r="AR310" s="235">
        <v>0.99199999999999999</v>
      </c>
      <c r="AS310" s="223">
        <v>106</v>
      </c>
      <c r="AT310" s="235">
        <v>0.81499999999999995</v>
      </c>
      <c r="AU310" s="223">
        <v>106</v>
      </c>
      <c r="AV310" s="232">
        <v>0.81499999999999995</v>
      </c>
      <c r="AW310" s="223">
        <v>74</v>
      </c>
      <c r="AX310" s="223">
        <v>73</v>
      </c>
      <c r="AY310" s="235">
        <v>0.98599999999999999</v>
      </c>
      <c r="AZ310" s="223">
        <v>72</v>
      </c>
      <c r="BA310" s="235">
        <v>0.97299999999999998</v>
      </c>
      <c r="BB310" s="223">
        <v>72</v>
      </c>
      <c r="BC310" s="232">
        <v>0.97299999999999998</v>
      </c>
    </row>
    <row r="311" spans="1:55" x14ac:dyDescent="0.25">
      <c r="A311" s="226">
        <v>1</v>
      </c>
      <c r="B311" s="211" t="s">
        <v>117</v>
      </c>
      <c r="C311" s="211">
        <v>948</v>
      </c>
      <c r="D311" s="211" t="s">
        <v>487</v>
      </c>
      <c r="E311" s="211">
        <v>511</v>
      </c>
      <c r="F311" s="211">
        <v>520</v>
      </c>
      <c r="G311" s="211"/>
      <c r="H311" s="220" t="str">
        <f>HYPERLINK("https://map.geo.admin.ch/?zoom=7&amp;E=606400&amp;N=179200&amp;layers=ch.kantone.cadastralwebmap-farbe,ch.swisstopo.amtliches-strassenverzeichnis,ch.bfs.gebaeude_wohnungs_register,KML||https://tinyurl.com/yy7ya4g9/BE/0948_bdg_erw.kml","KML building")</f>
        <v>KML building</v>
      </c>
      <c r="I311" s="154">
        <v>0</v>
      </c>
      <c r="J311" s="243" t="s">
        <v>1272</v>
      </c>
      <c r="K311" s="153">
        <v>0</v>
      </c>
      <c r="L311" s="64">
        <v>0</v>
      </c>
      <c r="M311" s="64"/>
      <c r="N311" s="200">
        <v>0</v>
      </c>
      <c r="O311" s="155"/>
      <c r="P311" s="63"/>
      <c r="Q311" s="64">
        <v>0</v>
      </c>
      <c r="R311" s="64"/>
      <c r="S311" s="200">
        <v>0</v>
      </c>
      <c r="T311" s="155"/>
      <c r="U311" s="63"/>
      <c r="V311" s="64">
        <v>0</v>
      </c>
      <c r="W311" s="64"/>
      <c r="X311" s="200">
        <v>0</v>
      </c>
      <c r="Y311" s="155"/>
      <c r="Z311" s="63"/>
      <c r="AA311" s="64">
        <v>0</v>
      </c>
      <c r="AB311" s="64"/>
      <c r="AC311" s="200">
        <v>0</v>
      </c>
      <c r="AD311" s="156"/>
      <c r="AE311" s="153"/>
      <c r="AF311" s="140">
        <v>2</v>
      </c>
      <c r="AG311" s="140"/>
      <c r="AH311" s="200">
        <v>3.8999999999999998E-3</v>
      </c>
      <c r="AI311" s="140"/>
      <c r="AJ311" s="153"/>
      <c r="AK311" s="140">
        <v>0</v>
      </c>
      <c r="AL311" s="140"/>
      <c r="AM311" s="200">
        <v>0</v>
      </c>
      <c r="AN311" s="156"/>
      <c r="AO311" s="230">
        <v>3.8999999999999998E-3</v>
      </c>
      <c r="AP311" s="223">
        <v>281</v>
      </c>
      <c r="AQ311" s="223">
        <v>267</v>
      </c>
      <c r="AR311" s="235">
        <v>0.95</v>
      </c>
      <c r="AS311" s="223">
        <v>233</v>
      </c>
      <c r="AT311" s="235">
        <v>0.82899999999999996</v>
      </c>
      <c r="AU311" s="223">
        <v>230</v>
      </c>
      <c r="AV311" s="232">
        <v>0.81899999999999995</v>
      </c>
      <c r="AW311" s="223">
        <v>136</v>
      </c>
      <c r="AX311" s="223">
        <v>131</v>
      </c>
      <c r="AY311" s="235">
        <v>0.96299999999999997</v>
      </c>
      <c r="AZ311" s="223">
        <v>129</v>
      </c>
      <c r="BA311" s="235">
        <v>0.94899999999999995</v>
      </c>
      <c r="BB311" s="223">
        <v>126</v>
      </c>
      <c r="BC311" s="232">
        <v>0.92600000000000005</v>
      </c>
    </row>
    <row r="312" spans="1:55" x14ac:dyDescent="0.25">
      <c r="A312" s="226">
        <v>1</v>
      </c>
      <c r="B312" s="211" t="s">
        <v>117</v>
      </c>
      <c r="C312" s="211">
        <v>951</v>
      </c>
      <c r="D312" s="211" t="s">
        <v>488</v>
      </c>
      <c r="E312" s="211">
        <v>850</v>
      </c>
      <c r="F312" s="211">
        <v>851</v>
      </c>
      <c r="G312" s="211"/>
      <c r="H312" s="220" t="str">
        <f>HYPERLINK("https://map.geo.admin.ch/?zoom=7&amp;E=622300&amp;N=212700&amp;layers=ch.kantone.cadastralwebmap-farbe,ch.swisstopo.amtliches-strassenverzeichnis,ch.bfs.gebaeude_wohnungs_register,KML||https://tinyurl.com/yy7ya4g9/BE/0951_bdg_erw.kml","KML building")</f>
        <v>KML building</v>
      </c>
      <c r="I312" s="154">
        <v>0</v>
      </c>
      <c r="J312" s="243" t="s">
        <v>1273</v>
      </c>
      <c r="K312" s="153">
        <v>0</v>
      </c>
      <c r="L312" s="64">
        <v>0</v>
      </c>
      <c r="M312" s="64"/>
      <c r="N312" s="200">
        <v>0</v>
      </c>
      <c r="O312" s="155"/>
      <c r="P312" s="63"/>
      <c r="Q312" s="64">
        <v>0</v>
      </c>
      <c r="R312" s="64"/>
      <c r="S312" s="200">
        <v>0</v>
      </c>
      <c r="T312" s="155"/>
      <c r="U312" s="63"/>
      <c r="V312" s="64">
        <v>0</v>
      </c>
      <c r="W312" s="64"/>
      <c r="X312" s="200">
        <v>0</v>
      </c>
      <c r="Y312" s="155"/>
      <c r="Z312" s="63"/>
      <c r="AA312" s="64">
        <v>0</v>
      </c>
      <c r="AB312" s="64"/>
      <c r="AC312" s="200">
        <v>0</v>
      </c>
      <c r="AD312" s="156"/>
      <c r="AE312" s="153"/>
      <c r="AF312" s="140">
        <v>2</v>
      </c>
      <c r="AG312" s="140"/>
      <c r="AH312" s="200">
        <v>2.3999999999999998E-3</v>
      </c>
      <c r="AI312" s="140"/>
      <c r="AJ312" s="153"/>
      <c r="AK312" s="140">
        <v>1</v>
      </c>
      <c r="AL312" s="140"/>
      <c r="AM312" s="200">
        <v>1.1999999999999999E-3</v>
      </c>
      <c r="AN312" s="156"/>
      <c r="AO312" s="230">
        <v>3.5999999999999999E-3</v>
      </c>
      <c r="AP312" s="223">
        <v>430</v>
      </c>
      <c r="AQ312" s="223">
        <v>366</v>
      </c>
      <c r="AR312" s="235">
        <v>0.85099999999999998</v>
      </c>
      <c r="AS312" s="223">
        <v>345</v>
      </c>
      <c r="AT312" s="235">
        <v>0.80200000000000005</v>
      </c>
      <c r="AU312" s="223">
        <v>345</v>
      </c>
      <c r="AV312" s="232">
        <v>0.80200000000000005</v>
      </c>
      <c r="AW312" s="223">
        <v>284</v>
      </c>
      <c r="AX312" s="223">
        <v>279</v>
      </c>
      <c r="AY312" s="235">
        <v>0.98199999999999998</v>
      </c>
      <c r="AZ312" s="223">
        <v>268</v>
      </c>
      <c r="BA312" s="235">
        <v>0.94399999999999995</v>
      </c>
      <c r="BB312" s="223">
        <v>268</v>
      </c>
      <c r="BC312" s="232">
        <v>0.94399999999999995</v>
      </c>
    </row>
    <row r="313" spans="1:55" x14ac:dyDescent="0.25">
      <c r="A313" s="226">
        <v>1</v>
      </c>
      <c r="B313" s="211" t="s">
        <v>117</v>
      </c>
      <c r="C313" s="211">
        <v>952</v>
      </c>
      <c r="D313" s="211" t="s">
        <v>489</v>
      </c>
      <c r="E313" s="211">
        <v>888</v>
      </c>
      <c r="F313" s="211">
        <v>891</v>
      </c>
      <c r="G313" s="211"/>
      <c r="H313" s="220" t="str">
        <f>HYPERLINK("https://map.geo.admin.ch/?zoom=7&amp;E=626800&amp;N=215400&amp;layers=ch.kantone.cadastralwebmap-farbe,ch.swisstopo.amtliches-strassenverzeichnis,ch.bfs.gebaeude_wohnungs_register,KML||https://tinyurl.com/yy7ya4g9/BE/0952_bdg_erw.kml","KML building")</f>
        <v>KML building</v>
      </c>
      <c r="I313" s="154">
        <v>2</v>
      </c>
      <c r="J313" s="243" t="s">
        <v>1274</v>
      </c>
      <c r="K313" s="153">
        <v>2.2522522522522522E-3</v>
      </c>
      <c r="L313" s="64">
        <v>0</v>
      </c>
      <c r="M313" s="64"/>
      <c r="N313" s="200">
        <v>0</v>
      </c>
      <c r="O313" s="155"/>
      <c r="P313" s="63"/>
      <c r="Q313" s="64">
        <v>0</v>
      </c>
      <c r="R313" s="64"/>
      <c r="S313" s="200">
        <v>0</v>
      </c>
      <c r="T313" s="155"/>
      <c r="U313" s="63"/>
      <c r="V313" s="64">
        <v>0</v>
      </c>
      <c r="W313" s="64"/>
      <c r="X313" s="200">
        <v>0</v>
      </c>
      <c r="Y313" s="155"/>
      <c r="Z313" s="63"/>
      <c r="AA313" s="64">
        <v>0</v>
      </c>
      <c r="AB313" s="64"/>
      <c r="AC313" s="200">
        <v>0</v>
      </c>
      <c r="AD313" s="156"/>
      <c r="AE313" s="153"/>
      <c r="AF313" s="140">
        <v>1</v>
      </c>
      <c r="AG313" s="140"/>
      <c r="AH313" s="200">
        <v>1.1000000000000001E-3</v>
      </c>
      <c r="AI313" s="140"/>
      <c r="AJ313" s="153"/>
      <c r="AK313" s="140">
        <v>0</v>
      </c>
      <c r="AL313" s="140"/>
      <c r="AM313" s="200">
        <v>0</v>
      </c>
      <c r="AN313" s="156"/>
      <c r="AO313" s="230">
        <v>1.1000000000000001E-3</v>
      </c>
      <c r="AP313" s="223">
        <v>483</v>
      </c>
      <c r="AQ313" s="223">
        <v>403</v>
      </c>
      <c r="AR313" s="235">
        <v>0.83399999999999996</v>
      </c>
      <c r="AS313" s="223">
        <v>386</v>
      </c>
      <c r="AT313" s="235">
        <v>0.79900000000000004</v>
      </c>
      <c r="AU313" s="223">
        <v>383</v>
      </c>
      <c r="AV313" s="232">
        <v>0.79300000000000004</v>
      </c>
      <c r="AW313" s="223">
        <v>297</v>
      </c>
      <c r="AX313" s="223">
        <v>290</v>
      </c>
      <c r="AY313" s="235">
        <v>0.97599999999999998</v>
      </c>
      <c r="AZ313" s="223">
        <v>285</v>
      </c>
      <c r="BA313" s="235">
        <v>0.96</v>
      </c>
      <c r="BB313" s="223">
        <v>282</v>
      </c>
      <c r="BC313" s="232">
        <v>0.94899999999999995</v>
      </c>
    </row>
    <row r="314" spans="1:55" x14ac:dyDescent="0.25">
      <c r="A314" s="226">
        <v>1</v>
      </c>
      <c r="B314" s="211" t="s">
        <v>117</v>
      </c>
      <c r="C314" s="211">
        <v>953</v>
      </c>
      <c r="D314" s="211" t="s">
        <v>490</v>
      </c>
      <c r="E314" s="211">
        <v>929</v>
      </c>
      <c r="F314" s="211">
        <v>931</v>
      </c>
      <c r="G314" s="211"/>
      <c r="H314" s="220" t="str">
        <f>HYPERLINK("https://map.geo.admin.ch/?zoom=7&amp;E=631300&amp;N=214300&amp;layers=ch.kantone.cadastralwebmap-farbe,ch.swisstopo.amtliches-strassenverzeichnis,ch.bfs.gebaeude_wohnungs_register,KML||https://tinyurl.com/yy7ya4g9/BE/0953_bdg_erw.kml","KML building")</f>
        <v>KML building</v>
      </c>
      <c r="I314" s="154">
        <v>2</v>
      </c>
      <c r="J314" s="243" t="s">
        <v>1275</v>
      </c>
      <c r="K314" s="153">
        <v>2.1528525296017221E-3</v>
      </c>
      <c r="L314" s="64">
        <v>0</v>
      </c>
      <c r="M314" s="64"/>
      <c r="N314" s="200">
        <v>0</v>
      </c>
      <c r="O314" s="155"/>
      <c r="P314" s="63"/>
      <c r="Q314" s="64">
        <v>0</v>
      </c>
      <c r="R314" s="64"/>
      <c r="S314" s="200">
        <v>0</v>
      </c>
      <c r="T314" s="155"/>
      <c r="U314" s="63"/>
      <c r="V314" s="64">
        <v>0</v>
      </c>
      <c r="W314" s="64"/>
      <c r="X314" s="200">
        <v>0</v>
      </c>
      <c r="Y314" s="155"/>
      <c r="Z314" s="63"/>
      <c r="AA314" s="64">
        <v>2</v>
      </c>
      <c r="AB314" s="64"/>
      <c r="AC314" s="200">
        <v>2.0999999999999999E-3</v>
      </c>
      <c r="AD314" s="156"/>
      <c r="AE314" s="153"/>
      <c r="AF314" s="140">
        <v>4</v>
      </c>
      <c r="AG314" s="140"/>
      <c r="AH314" s="200">
        <v>4.3E-3</v>
      </c>
      <c r="AI314" s="140"/>
      <c r="AJ314" s="153"/>
      <c r="AK314" s="140">
        <v>3</v>
      </c>
      <c r="AL314" s="140"/>
      <c r="AM314" s="200">
        <v>3.2000000000000002E-3</v>
      </c>
      <c r="AN314" s="156"/>
      <c r="AO314" s="230">
        <v>9.5999999999999992E-3</v>
      </c>
      <c r="AP314" s="223">
        <v>431</v>
      </c>
      <c r="AQ314" s="223">
        <v>371</v>
      </c>
      <c r="AR314" s="235">
        <v>0.86099999999999999</v>
      </c>
      <c r="AS314" s="223">
        <v>353</v>
      </c>
      <c r="AT314" s="235">
        <v>0.81899999999999995</v>
      </c>
      <c r="AU314" s="223">
        <v>353</v>
      </c>
      <c r="AV314" s="232">
        <v>0.81899999999999995</v>
      </c>
      <c r="AW314" s="223">
        <v>256</v>
      </c>
      <c r="AX314" s="223">
        <v>243</v>
      </c>
      <c r="AY314" s="235">
        <v>0.94899999999999995</v>
      </c>
      <c r="AZ314" s="223">
        <v>236</v>
      </c>
      <c r="BA314" s="235">
        <v>0.92200000000000004</v>
      </c>
      <c r="BB314" s="223">
        <v>236</v>
      </c>
      <c r="BC314" s="232">
        <v>0.92200000000000004</v>
      </c>
    </row>
    <row r="315" spans="1:55" x14ac:dyDescent="0.25">
      <c r="A315" s="226">
        <v>1</v>
      </c>
      <c r="B315" s="211" t="s">
        <v>117</v>
      </c>
      <c r="C315" s="211">
        <v>954</v>
      </c>
      <c r="D315" s="211" t="s">
        <v>491</v>
      </c>
      <c r="E315" s="211">
        <v>2540</v>
      </c>
      <c r="F315" s="211">
        <v>2550</v>
      </c>
      <c r="G315" s="211"/>
      <c r="H315" s="220" t="str">
        <f>HYPERLINK("https://map.geo.admin.ch/?zoom=7&amp;E=631100&amp;N=218200&amp;layers=ch.kantone.cadastralwebmap-farbe,ch.swisstopo.amtliches-strassenverzeichnis,ch.bfs.gebaeude_wohnungs_register,KML||https://tinyurl.com/yy7ya4g9/BE/0954_bdg_erw.kml","KML building")</f>
        <v>KML building</v>
      </c>
      <c r="I315" s="154">
        <v>1</v>
      </c>
      <c r="J315" s="243" t="s">
        <v>1276</v>
      </c>
      <c r="K315" s="153">
        <v>3.937007874015748E-4</v>
      </c>
      <c r="L315" s="64">
        <v>0</v>
      </c>
      <c r="M315" s="64"/>
      <c r="N315" s="200">
        <v>0</v>
      </c>
      <c r="O315" s="155"/>
      <c r="P315" s="63"/>
      <c r="Q315" s="64">
        <v>0</v>
      </c>
      <c r="R315" s="64"/>
      <c r="S315" s="200">
        <v>0</v>
      </c>
      <c r="T315" s="155"/>
      <c r="U315" s="63"/>
      <c r="V315" s="64">
        <v>0</v>
      </c>
      <c r="W315" s="64"/>
      <c r="X315" s="200">
        <v>0</v>
      </c>
      <c r="Y315" s="155"/>
      <c r="Z315" s="63"/>
      <c r="AA315" s="64">
        <v>0</v>
      </c>
      <c r="AB315" s="64"/>
      <c r="AC315" s="200">
        <v>0</v>
      </c>
      <c r="AD315" s="156"/>
      <c r="AE315" s="153"/>
      <c r="AF315" s="140">
        <v>6</v>
      </c>
      <c r="AG315" s="140"/>
      <c r="AH315" s="200">
        <v>2.3999999999999998E-3</v>
      </c>
      <c r="AI315" s="140"/>
      <c r="AJ315" s="153"/>
      <c r="AK315" s="140">
        <v>3</v>
      </c>
      <c r="AL315" s="140"/>
      <c r="AM315" s="200">
        <v>1.1999999999999999E-3</v>
      </c>
      <c r="AN315" s="156"/>
      <c r="AO315" s="230">
        <v>3.5999999999999999E-3</v>
      </c>
      <c r="AP315" s="223">
        <v>1080</v>
      </c>
      <c r="AQ315" s="223">
        <v>879</v>
      </c>
      <c r="AR315" s="235">
        <v>0.81399999999999995</v>
      </c>
      <c r="AS315" s="223">
        <v>858</v>
      </c>
      <c r="AT315" s="235">
        <v>0.79400000000000004</v>
      </c>
      <c r="AU315" s="223">
        <v>798</v>
      </c>
      <c r="AV315" s="232">
        <v>0.73899999999999999</v>
      </c>
      <c r="AW315" s="223">
        <v>682</v>
      </c>
      <c r="AX315" s="223">
        <v>645</v>
      </c>
      <c r="AY315" s="235">
        <v>0.94599999999999995</v>
      </c>
      <c r="AZ315" s="223">
        <v>602</v>
      </c>
      <c r="BA315" s="235">
        <v>0.88300000000000001</v>
      </c>
      <c r="BB315" s="223">
        <v>593</v>
      </c>
      <c r="BC315" s="232">
        <v>0.87</v>
      </c>
    </row>
    <row r="316" spans="1:55" x14ac:dyDescent="0.25">
      <c r="A316" s="226">
        <v>1</v>
      </c>
      <c r="B316" s="211" t="s">
        <v>117</v>
      </c>
      <c r="C316" s="211">
        <v>955</v>
      </c>
      <c r="D316" s="211" t="s">
        <v>492</v>
      </c>
      <c r="E316" s="211">
        <v>2775</v>
      </c>
      <c r="F316" s="211">
        <v>2781</v>
      </c>
      <c r="G316" s="211"/>
      <c r="H316" s="220" t="str">
        <f>HYPERLINK("https://map.geo.admin.ch/?zoom=7&amp;E=618700&amp;N=206200&amp;layers=ch.kantone.cadastralwebmap-farbe,ch.swisstopo.amtliches-strassenverzeichnis,ch.bfs.gebaeude_wohnungs_register,KML||https://tinyurl.com/yy7ya4g9/BE/0955_bdg_erw.kml","KML building")</f>
        <v>KML building</v>
      </c>
      <c r="I316" s="154">
        <v>1</v>
      </c>
      <c r="J316" s="243" t="s">
        <v>1277</v>
      </c>
      <c r="K316" s="153">
        <v>3.6036036036036037E-4</v>
      </c>
      <c r="L316" s="64">
        <v>0</v>
      </c>
      <c r="M316" s="64"/>
      <c r="N316" s="200">
        <v>0</v>
      </c>
      <c r="O316" s="155"/>
      <c r="P316" s="63"/>
      <c r="Q316" s="64">
        <v>0</v>
      </c>
      <c r="R316" s="64"/>
      <c r="S316" s="200">
        <v>0</v>
      </c>
      <c r="T316" s="155"/>
      <c r="U316" s="63"/>
      <c r="V316" s="64">
        <v>0</v>
      </c>
      <c r="W316" s="64"/>
      <c r="X316" s="200">
        <v>0</v>
      </c>
      <c r="Y316" s="155"/>
      <c r="Z316" s="63"/>
      <c r="AA316" s="64">
        <v>0</v>
      </c>
      <c r="AB316" s="64"/>
      <c r="AC316" s="200">
        <v>0</v>
      </c>
      <c r="AD316" s="156"/>
      <c r="AE316" s="153"/>
      <c r="AF316" s="140">
        <v>16</v>
      </c>
      <c r="AG316" s="140"/>
      <c r="AH316" s="200">
        <v>5.7999999999999996E-3</v>
      </c>
      <c r="AI316" s="140"/>
      <c r="AJ316" s="153"/>
      <c r="AK316" s="140">
        <v>1</v>
      </c>
      <c r="AL316" s="140"/>
      <c r="AM316" s="200">
        <v>4.0000000000000002E-4</v>
      </c>
      <c r="AN316" s="156"/>
      <c r="AO316" s="230">
        <v>6.1999999999999998E-3</v>
      </c>
      <c r="AP316" s="223">
        <v>1416</v>
      </c>
      <c r="AQ316" s="223">
        <v>1172</v>
      </c>
      <c r="AR316" s="235">
        <v>0.82799999999999996</v>
      </c>
      <c r="AS316" s="223">
        <v>1073</v>
      </c>
      <c r="AT316" s="235">
        <v>0.75800000000000001</v>
      </c>
      <c r="AU316" s="223">
        <v>1052</v>
      </c>
      <c r="AV316" s="232">
        <v>0.74299999999999999</v>
      </c>
      <c r="AW316" s="223">
        <v>769</v>
      </c>
      <c r="AX316" s="223">
        <v>729</v>
      </c>
      <c r="AY316" s="235">
        <v>0.94799999999999995</v>
      </c>
      <c r="AZ316" s="223">
        <v>693</v>
      </c>
      <c r="BA316" s="235">
        <v>0.90100000000000002</v>
      </c>
      <c r="BB316" s="223">
        <v>688</v>
      </c>
      <c r="BC316" s="232">
        <v>0.89500000000000002</v>
      </c>
    </row>
    <row r="317" spans="1:55" x14ac:dyDescent="0.25">
      <c r="A317" s="226">
        <v>1</v>
      </c>
      <c r="B317" s="211" t="s">
        <v>117</v>
      </c>
      <c r="C317" s="211">
        <v>956</v>
      </c>
      <c r="D317" s="211" t="s">
        <v>493</v>
      </c>
      <c r="E317" s="211">
        <v>1789</v>
      </c>
      <c r="F317" s="211">
        <v>1801</v>
      </c>
      <c r="G317" s="211"/>
      <c r="H317" s="220" t="str">
        <f>HYPERLINK("https://map.geo.admin.ch/?zoom=7&amp;E=617900&amp;N=208300&amp;layers=ch.kantone.cadastralwebmap-farbe,ch.swisstopo.amtliches-strassenverzeichnis,ch.bfs.gebaeude_wohnungs_register,KML||https://tinyurl.com/yy7ya4g9/BE/0956_bdg_erw.kml","KML building")</f>
        <v>KML building</v>
      </c>
      <c r="I317" s="154">
        <v>0</v>
      </c>
      <c r="J317" s="243" t="s">
        <v>1278</v>
      </c>
      <c r="K317" s="153">
        <v>0</v>
      </c>
      <c r="L317" s="64">
        <v>0</v>
      </c>
      <c r="M317" s="64"/>
      <c r="N317" s="200">
        <v>0</v>
      </c>
      <c r="O317" s="155"/>
      <c r="P317" s="63"/>
      <c r="Q317" s="64">
        <v>0</v>
      </c>
      <c r="R317" s="64"/>
      <c r="S317" s="200">
        <v>0</v>
      </c>
      <c r="T317" s="155"/>
      <c r="U317" s="63"/>
      <c r="V317" s="64">
        <v>0</v>
      </c>
      <c r="W317" s="64"/>
      <c r="X317" s="200">
        <v>0</v>
      </c>
      <c r="Y317" s="155"/>
      <c r="Z317" s="63"/>
      <c r="AA317" s="64">
        <v>0</v>
      </c>
      <c r="AB317" s="64"/>
      <c r="AC317" s="200">
        <v>0</v>
      </c>
      <c r="AD317" s="156"/>
      <c r="AE317" s="153"/>
      <c r="AF317" s="140">
        <v>3</v>
      </c>
      <c r="AG317" s="140"/>
      <c r="AH317" s="200">
        <v>1.6999999999999999E-3</v>
      </c>
      <c r="AI317" s="140"/>
      <c r="AJ317" s="153"/>
      <c r="AK317" s="140">
        <v>1</v>
      </c>
      <c r="AL317" s="140"/>
      <c r="AM317" s="200">
        <v>5.9999999999999995E-4</v>
      </c>
      <c r="AN317" s="156"/>
      <c r="AO317" s="230">
        <v>2.3E-3</v>
      </c>
      <c r="AP317" s="223">
        <v>841</v>
      </c>
      <c r="AQ317" s="223">
        <v>691</v>
      </c>
      <c r="AR317" s="235">
        <v>0.82199999999999995</v>
      </c>
      <c r="AS317" s="223">
        <v>588</v>
      </c>
      <c r="AT317" s="235">
        <v>0.69899999999999995</v>
      </c>
      <c r="AU317" s="223">
        <v>578</v>
      </c>
      <c r="AV317" s="232">
        <v>0.68700000000000006</v>
      </c>
      <c r="AW317" s="223">
        <v>478</v>
      </c>
      <c r="AX317" s="223">
        <v>463</v>
      </c>
      <c r="AY317" s="235">
        <v>0.96899999999999997</v>
      </c>
      <c r="AZ317" s="223">
        <v>433</v>
      </c>
      <c r="BA317" s="235">
        <v>0.90600000000000003</v>
      </c>
      <c r="BB317" s="223">
        <v>429</v>
      </c>
      <c r="BC317" s="232">
        <v>0.89700000000000002</v>
      </c>
    </row>
    <row r="318" spans="1:55" x14ac:dyDescent="0.25">
      <c r="A318" s="226">
        <v>1</v>
      </c>
      <c r="B318" s="211" t="s">
        <v>117</v>
      </c>
      <c r="C318" s="211">
        <v>957</v>
      </c>
      <c r="D318" s="211" t="s">
        <v>494</v>
      </c>
      <c r="E318" s="211">
        <v>3516</v>
      </c>
      <c r="F318" s="211">
        <v>3521</v>
      </c>
      <c r="G318" s="211"/>
      <c r="H318" s="220" t="str">
        <f>HYPERLINK("https://map.geo.admin.ch/?zoom=7&amp;E=623300&amp;N=208600&amp;layers=ch.kantone.cadastralwebmap-farbe,ch.swisstopo.amtliches-strassenverzeichnis,ch.bfs.gebaeude_wohnungs_register,KML||https://tinyurl.com/yy7ya4g9/BE/0957_bdg_erw.kml","KML building")</f>
        <v>KML building</v>
      </c>
      <c r="I318" s="154">
        <v>6</v>
      </c>
      <c r="J318" s="243" t="s">
        <v>1279</v>
      </c>
      <c r="K318" s="153">
        <v>1.7064846416382253E-3</v>
      </c>
      <c r="L318" s="64">
        <v>0</v>
      </c>
      <c r="M318" s="64"/>
      <c r="N318" s="200">
        <v>0</v>
      </c>
      <c r="O318" s="155"/>
      <c r="P318" s="63"/>
      <c r="Q318" s="64">
        <v>0</v>
      </c>
      <c r="R318" s="64"/>
      <c r="S318" s="200">
        <v>0</v>
      </c>
      <c r="T318" s="155"/>
      <c r="U318" s="63"/>
      <c r="V318" s="64">
        <v>0</v>
      </c>
      <c r="W318" s="64"/>
      <c r="X318" s="200">
        <v>0</v>
      </c>
      <c r="Y318" s="155"/>
      <c r="Z318" s="63"/>
      <c r="AA318" s="64">
        <v>2</v>
      </c>
      <c r="AB318" s="64"/>
      <c r="AC318" s="200">
        <v>5.9999999999999995E-4</v>
      </c>
      <c r="AD318" s="156"/>
      <c r="AE318" s="153"/>
      <c r="AF318" s="140">
        <v>13</v>
      </c>
      <c r="AG318" s="140"/>
      <c r="AH318" s="200">
        <v>3.7000000000000002E-3</v>
      </c>
      <c r="AI318" s="140"/>
      <c r="AJ318" s="153"/>
      <c r="AK318" s="140">
        <v>21</v>
      </c>
      <c r="AL318" s="140"/>
      <c r="AM318" s="200">
        <v>6.0000000000000001E-3</v>
      </c>
      <c r="AN318" s="156"/>
      <c r="AO318" s="230">
        <v>1.03E-2</v>
      </c>
      <c r="AP318" s="223">
        <v>1869</v>
      </c>
      <c r="AQ318" s="223">
        <v>1558</v>
      </c>
      <c r="AR318" s="235">
        <v>0.83399999999999996</v>
      </c>
      <c r="AS318" s="223">
        <v>1441</v>
      </c>
      <c r="AT318" s="235">
        <v>0.77100000000000002</v>
      </c>
      <c r="AU318" s="223">
        <v>1388</v>
      </c>
      <c r="AV318" s="232">
        <v>0.74299999999999999</v>
      </c>
      <c r="AW318" s="223">
        <v>1143</v>
      </c>
      <c r="AX318" s="223">
        <v>1097</v>
      </c>
      <c r="AY318" s="235">
        <v>0.96</v>
      </c>
      <c r="AZ318" s="223">
        <v>1047</v>
      </c>
      <c r="BA318" s="235">
        <v>0.91600000000000004</v>
      </c>
      <c r="BB318" s="223">
        <v>1020</v>
      </c>
      <c r="BC318" s="232">
        <v>0.89200000000000002</v>
      </c>
    </row>
    <row r="319" spans="1:55" x14ac:dyDescent="0.25">
      <c r="A319" s="226">
        <v>1</v>
      </c>
      <c r="B319" s="211" t="s">
        <v>117</v>
      </c>
      <c r="C319" s="211">
        <v>958</v>
      </c>
      <c r="D319" s="211" t="s">
        <v>495</v>
      </c>
      <c r="E319" s="211">
        <v>909</v>
      </c>
      <c r="F319" s="211">
        <v>913</v>
      </c>
      <c r="G319" s="211"/>
      <c r="H319" s="220" t="str">
        <f>HYPERLINK("https://map.geo.admin.ch/?zoom=7&amp;E=622800&amp;N=207400&amp;layers=ch.kantone.cadastralwebmap-farbe,ch.swisstopo.amtliches-strassenverzeichnis,ch.bfs.gebaeude_wohnungs_register,KML||https://tinyurl.com/yy7ya4g9/BE/0958_bdg_erw.kml","KML building")</f>
        <v>KML building</v>
      </c>
      <c r="I319" s="154">
        <v>0</v>
      </c>
      <c r="J319" s="243" t="s">
        <v>1280</v>
      </c>
      <c r="K319" s="153">
        <v>0</v>
      </c>
      <c r="L319" s="64">
        <v>0</v>
      </c>
      <c r="M319" s="64"/>
      <c r="N319" s="200">
        <v>0</v>
      </c>
      <c r="O319" s="155"/>
      <c r="P319" s="63"/>
      <c r="Q319" s="64">
        <v>0</v>
      </c>
      <c r="R319" s="64"/>
      <c r="S319" s="200">
        <v>0</v>
      </c>
      <c r="T319" s="155"/>
      <c r="U319" s="63"/>
      <c r="V319" s="64">
        <v>0</v>
      </c>
      <c r="W319" s="64"/>
      <c r="X319" s="200">
        <v>0</v>
      </c>
      <c r="Y319" s="155"/>
      <c r="Z319" s="63"/>
      <c r="AA319" s="64">
        <v>0</v>
      </c>
      <c r="AB319" s="64"/>
      <c r="AC319" s="200">
        <v>0</v>
      </c>
      <c r="AD319" s="156"/>
      <c r="AE319" s="153"/>
      <c r="AF319" s="140">
        <v>0</v>
      </c>
      <c r="AG319" s="140"/>
      <c r="AH319" s="200">
        <v>0</v>
      </c>
      <c r="AI319" s="140"/>
      <c r="AJ319" s="153"/>
      <c r="AK319" s="140">
        <v>0</v>
      </c>
      <c r="AL319" s="140"/>
      <c r="AM319" s="200">
        <v>0</v>
      </c>
      <c r="AN319" s="156"/>
      <c r="AO319" s="230">
        <v>0</v>
      </c>
      <c r="AP319" s="223">
        <v>518</v>
      </c>
      <c r="AQ319" s="223">
        <v>452</v>
      </c>
      <c r="AR319" s="235">
        <v>0.873</v>
      </c>
      <c r="AS319" s="223">
        <v>419</v>
      </c>
      <c r="AT319" s="235">
        <v>0.80900000000000005</v>
      </c>
      <c r="AU319" s="223">
        <v>410</v>
      </c>
      <c r="AV319" s="232">
        <v>0.79200000000000004</v>
      </c>
      <c r="AW319" s="223">
        <v>308</v>
      </c>
      <c r="AX319" s="223">
        <v>307</v>
      </c>
      <c r="AY319" s="235">
        <v>0.997</v>
      </c>
      <c r="AZ319" s="223">
        <v>284</v>
      </c>
      <c r="BA319" s="235">
        <v>0.92200000000000004</v>
      </c>
      <c r="BB319" s="223">
        <v>284</v>
      </c>
      <c r="BC319" s="232">
        <v>0.92200000000000004</v>
      </c>
    </row>
    <row r="320" spans="1:55" x14ac:dyDescent="0.25">
      <c r="A320" s="226">
        <v>1</v>
      </c>
      <c r="B320" s="211" t="s">
        <v>117</v>
      </c>
      <c r="C320" s="211">
        <v>959</v>
      </c>
      <c r="D320" s="211" t="s">
        <v>496</v>
      </c>
      <c r="E320" s="211">
        <v>466</v>
      </c>
      <c r="F320" s="211">
        <v>467</v>
      </c>
      <c r="G320" s="211"/>
      <c r="H320" s="220" t="str">
        <f>HYPERLINK("https://map.geo.admin.ch/?zoom=7&amp;E=625600&amp;N=218000&amp;layers=ch.kantone.cadastralwebmap-farbe,ch.swisstopo.amtliches-strassenverzeichnis,ch.bfs.gebaeude_wohnungs_register,KML||https://tinyurl.com/yy7ya4g9/BE/0959_bdg_erw.kml","KML building")</f>
        <v>KML building</v>
      </c>
      <c r="I320" s="154">
        <v>1</v>
      </c>
      <c r="J320" s="243" t="s">
        <v>1281</v>
      </c>
      <c r="K320" s="153">
        <v>2.1459227467811159E-3</v>
      </c>
      <c r="L320" s="64">
        <v>0</v>
      </c>
      <c r="M320" s="64"/>
      <c r="N320" s="200">
        <v>0</v>
      </c>
      <c r="O320" s="155"/>
      <c r="P320" s="63"/>
      <c r="Q320" s="64">
        <v>0</v>
      </c>
      <c r="R320" s="64"/>
      <c r="S320" s="200">
        <v>0</v>
      </c>
      <c r="T320" s="155"/>
      <c r="U320" s="63"/>
      <c r="V320" s="64">
        <v>0</v>
      </c>
      <c r="W320" s="64"/>
      <c r="X320" s="200">
        <v>0</v>
      </c>
      <c r="Y320" s="155"/>
      <c r="Z320" s="63"/>
      <c r="AA320" s="64">
        <v>0</v>
      </c>
      <c r="AB320" s="64"/>
      <c r="AC320" s="200">
        <v>0</v>
      </c>
      <c r="AD320" s="156"/>
      <c r="AE320" s="153"/>
      <c r="AF320" s="140">
        <v>38</v>
      </c>
      <c r="AG320" s="140"/>
      <c r="AH320" s="200">
        <v>8.1500000000000003E-2</v>
      </c>
      <c r="AI320" s="140"/>
      <c r="AJ320" s="153"/>
      <c r="AK320" s="140">
        <v>0</v>
      </c>
      <c r="AL320" s="140"/>
      <c r="AM320" s="200">
        <v>0</v>
      </c>
      <c r="AN320" s="156"/>
      <c r="AO320" s="230">
        <v>8.1500000000000003E-2</v>
      </c>
      <c r="AP320" s="223">
        <v>282</v>
      </c>
      <c r="AQ320" s="223">
        <v>249</v>
      </c>
      <c r="AR320" s="235">
        <v>0.88300000000000001</v>
      </c>
      <c r="AS320" s="223">
        <v>226</v>
      </c>
      <c r="AT320" s="235">
        <v>0.80100000000000005</v>
      </c>
      <c r="AU320" s="223">
        <v>225</v>
      </c>
      <c r="AV320" s="232">
        <v>0.79800000000000004</v>
      </c>
      <c r="AW320" s="223">
        <v>149</v>
      </c>
      <c r="AX320" s="223">
        <v>148</v>
      </c>
      <c r="AY320" s="235">
        <v>0.99299999999999999</v>
      </c>
      <c r="AZ320" s="223">
        <v>145</v>
      </c>
      <c r="BA320" s="235">
        <v>0.97299999999999998</v>
      </c>
      <c r="BB320" s="223">
        <v>144</v>
      </c>
      <c r="BC320" s="232">
        <v>0.96599999999999997</v>
      </c>
    </row>
    <row r="321" spans="1:55" x14ac:dyDescent="0.25">
      <c r="A321" s="226">
        <v>1</v>
      </c>
      <c r="B321" s="211" t="s">
        <v>117</v>
      </c>
      <c r="C321" s="211">
        <v>960</v>
      </c>
      <c r="D321" s="211" t="s">
        <v>497</v>
      </c>
      <c r="E321" s="211">
        <v>900</v>
      </c>
      <c r="F321" s="211">
        <v>902</v>
      </c>
      <c r="G321" s="211"/>
      <c r="H321" s="220" t="str">
        <f>HYPERLINK("https://map.geo.admin.ch/?zoom=7&amp;E=629400&amp;N=214900&amp;layers=ch.kantone.cadastralwebmap-farbe,ch.swisstopo.amtliches-strassenverzeichnis,ch.bfs.gebaeude_wohnungs_register,KML||https://tinyurl.com/yy7ya4g9/BE/0960_bdg_erw.kml","KML building")</f>
        <v>KML building</v>
      </c>
      <c r="I321" s="154">
        <v>3</v>
      </c>
      <c r="J321" s="243" t="s">
        <v>1282</v>
      </c>
      <c r="K321" s="153">
        <v>3.3333333333333335E-3</v>
      </c>
      <c r="L321" s="64">
        <v>0</v>
      </c>
      <c r="M321" s="64"/>
      <c r="N321" s="200">
        <v>0</v>
      </c>
      <c r="O321" s="155"/>
      <c r="P321" s="63"/>
      <c r="Q321" s="64">
        <v>0</v>
      </c>
      <c r="R321" s="64"/>
      <c r="S321" s="200">
        <v>0</v>
      </c>
      <c r="T321" s="155"/>
      <c r="U321" s="63"/>
      <c r="V321" s="64">
        <v>0</v>
      </c>
      <c r="W321" s="64"/>
      <c r="X321" s="200">
        <v>0</v>
      </c>
      <c r="Y321" s="155"/>
      <c r="Z321" s="63"/>
      <c r="AA321" s="64">
        <v>0</v>
      </c>
      <c r="AB321" s="64"/>
      <c r="AC321" s="200">
        <v>0</v>
      </c>
      <c r="AD321" s="156"/>
      <c r="AE321" s="153"/>
      <c r="AF321" s="140">
        <v>1</v>
      </c>
      <c r="AG321" s="140"/>
      <c r="AH321" s="200">
        <v>1.1000000000000001E-3</v>
      </c>
      <c r="AI321" s="140"/>
      <c r="AJ321" s="153"/>
      <c r="AK321" s="140">
        <v>1</v>
      </c>
      <c r="AL321" s="140"/>
      <c r="AM321" s="200">
        <v>1.1000000000000001E-3</v>
      </c>
      <c r="AN321" s="156"/>
      <c r="AO321" s="230">
        <v>2.2000000000000001E-3</v>
      </c>
      <c r="AP321" s="223">
        <v>478</v>
      </c>
      <c r="AQ321" s="223">
        <v>388</v>
      </c>
      <c r="AR321" s="235">
        <v>0.81200000000000006</v>
      </c>
      <c r="AS321" s="223">
        <v>371</v>
      </c>
      <c r="AT321" s="235">
        <v>0.77600000000000002</v>
      </c>
      <c r="AU321" s="223">
        <v>354</v>
      </c>
      <c r="AV321" s="232">
        <v>0.74099999999999999</v>
      </c>
      <c r="AW321" s="223">
        <v>286</v>
      </c>
      <c r="AX321" s="223">
        <v>269</v>
      </c>
      <c r="AY321" s="235">
        <v>0.94099999999999995</v>
      </c>
      <c r="AZ321" s="223">
        <v>262</v>
      </c>
      <c r="BA321" s="235">
        <v>0.91600000000000004</v>
      </c>
      <c r="BB321" s="223">
        <v>251</v>
      </c>
      <c r="BC321" s="232">
        <v>0.878</v>
      </c>
    </row>
    <row r="322" spans="1:55" x14ac:dyDescent="0.25">
      <c r="A322" s="226">
        <v>1</v>
      </c>
      <c r="B322" s="211" t="s">
        <v>117</v>
      </c>
      <c r="C322" s="211">
        <v>971</v>
      </c>
      <c r="D322" s="211" t="s">
        <v>498</v>
      </c>
      <c r="E322" s="211">
        <v>858</v>
      </c>
      <c r="F322" s="211">
        <v>861</v>
      </c>
      <c r="G322" s="211"/>
      <c r="H322" s="220" t="str">
        <f>HYPERLINK("https://map.geo.admin.ch/?zoom=7&amp;E=613300&amp;N=233300&amp;layers=ch.kantone.cadastralwebmap-farbe,ch.swisstopo.amtliches-strassenverzeichnis,ch.bfs.gebaeude_wohnungs_register,KML||https://tinyurl.com/yy7ya4g9/BE/0971_bdg_erw.kml","KML building")</f>
        <v>KML building</v>
      </c>
      <c r="I322" s="154">
        <v>1</v>
      </c>
      <c r="J322" s="243" t="s">
        <v>1283</v>
      </c>
      <c r="K322" s="153">
        <v>1.1655011655011655E-3</v>
      </c>
      <c r="L322" s="64">
        <v>0</v>
      </c>
      <c r="M322" s="64"/>
      <c r="N322" s="200">
        <v>0</v>
      </c>
      <c r="O322" s="155"/>
      <c r="P322" s="63"/>
      <c r="Q322" s="64">
        <v>0</v>
      </c>
      <c r="R322" s="64"/>
      <c r="S322" s="200">
        <v>0</v>
      </c>
      <c r="T322" s="155"/>
      <c r="U322" s="63"/>
      <c r="V322" s="64">
        <v>0</v>
      </c>
      <c r="W322" s="64"/>
      <c r="X322" s="200">
        <v>0</v>
      </c>
      <c r="Y322" s="155"/>
      <c r="Z322" s="63"/>
      <c r="AA322" s="64">
        <v>0</v>
      </c>
      <c r="AB322" s="64"/>
      <c r="AC322" s="200">
        <v>0</v>
      </c>
      <c r="AD322" s="156"/>
      <c r="AE322" s="153"/>
      <c r="AF322" s="140">
        <v>3</v>
      </c>
      <c r="AG322" s="140"/>
      <c r="AH322" s="200">
        <v>3.5000000000000001E-3</v>
      </c>
      <c r="AI322" s="140"/>
      <c r="AJ322" s="153"/>
      <c r="AK322" s="140">
        <v>1</v>
      </c>
      <c r="AL322" s="140"/>
      <c r="AM322" s="200">
        <v>1.1999999999999999E-3</v>
      </c>
      <c r="AN322" s="156"/>
      <c r="AO322" s="230">
        <v>4.7000000000000002E-3</v>
      </c>
      <c r="AP322" s="223">
        <v>329</v>
      </c>
      <c r="AQ322" s="223">
        <v>274</v>
      </c>
      <c r="AR322" s="235">
        <v>0.83299999999999996</v>
      </c>
      <c r="AS322" s="223">
        <v>257</v>
      </c>
      <c r="AT322" s="235">
        <v>0.78100000000000003</v>
      </c>
      <c r="AU322" s="223">
        <v>255</v>
      </c>
      <c r="AV322" s="232">
        <v>0.77500000000000002</v>
      </c>
      <c r="AW322" s="223">
        <v>185</v>
      </c>
      <c r="AX322" s="223">
        <v>174</v>
      </c>
      <c r="AY322" s="235">
        <v>0.94099999999999995</v>
      </c>
      <c r="AZ322" s="223">
        <v>168</v>
      </c>
      <c r="BA322" s="235">
        <v>0.90800000000000003</v>
      </c>
      <c r="BB322" s="223">
        <v>166</v>
      </c>
      <c r="BC322" s="232">
        <v>0.89700000000000002</v>
      </c>
    </row>
    <row r="323" spans="1:55" x14ac:dyDescent="0.25">
      <c r="A323" s="226">
        <v>1</v>
      </c>
      <c r="B323" s="211" t="s">
        <v>117</v>
      </c>
      <c r="C323" s="211">
        <v>972</v>
      </c>
      <c r="D323" s="211" t="s">
        <v>499</v>
      </c>
      <c r="E323" s="211">
        <v>68</v>
      </c>
      <c r="F323" s="211">
        <v>68</v>
      </c>
      <c r="G323" s="211"/>
      <c r="H323" s="220" t="str">
        <f>HYPERLINK("https://map.geo.admin.ch/?zoom=7&amp;E=620500&amp;N=230500&amp;layers=ch.kantone.cadastralwebmap-farbe,ch.swisstopo.amtliches-strassenverzeichnis,ch.bfs.gebaeude_wohnungs_register,KML||https://tinyurl.com/yy7ya4g9/BE/0972_bdg_erw.kml","KML building")</f>
        <v>KML building</v>
      </c>
      <c r="I323" s="154">
        <v>0</v>
      </c>
      <c r="J323" s="243" t="s">
        <v>1284</v>
      </c>
      <c r="K323" s="153">
        <v>0</v>
      </c>
      <c r="L323" s="64">
        <v>0</v>
      </c>
      <c r="M323" s="64"/>
      <c r="N323" s="200">
        <v>0</v>
      </c>
      <c r="O323" s="155"/>
      <c r="P323" s="63"/>
      <c r="Q323" s="64">
        <v>0</v>
      </c>
      <c r="R323" s="64"/>
      <c r="S323" s="200">
        <v>0</v>
      </c>
      <c r="T323" s="155"/>
      <c r="U323" s="63"/>
      <c r="V323" s="64">
        <v>0</v>
      </c>
      <c r="W323" s="64"/>
      <c r="X323" s="200">
        <v>0</v>
      </c>
      <c r="Y323" s="155"/>
      <c r="Z323" s="63"/>
      <c r="AA323" s="64">
        <v>0</v>
      </c>
      <c r="AB323" s="64"/>
      <c r="AC323" s="200">
        <v>0</v>
      </c>
      <c r="AD323" s="156"/>
      <c r="AE323" s="153"/>
      <c r="AF323" s="140">
        <v>0</v>
      </c>
      <c r="AG323" s="140"/>
      <c r="AH323" s="200">
        <v>0</v>
      </c>
      <c r="AI323" s="140"/>
      <c r="AJ323" s="153"/>
      <c r="AK323" s="140">
        <v>0</v>
      </c>
      <c r="AL323" s="140"/>
      <c r="AM323" s="200">
        <v>0</v>
      </c>
      <c r="AN323" s="156"/>
      <c r="AO323" s="230">
        <v>0</v>
      </c>
      <c r="AP323" s="223">
        <v>44</v>
      </c>
      <c r="AQ323" s="223">
        <v>41</v>
      </c>
      <c r="AR323" s="235">
        <v>0.93200000000000005</v>
      </c>
      <c r="AS323" s="223">
        <v>32</v>
      </c>
      <c r="AT323" s="235">
        <v>0.72699999999999998</v>
      </c>
      <c r="AU323" s="223">
        <v>31</v>
      </c>
      <c r="AV323" s="232">
        <v>0.70499999999999996</v>
      </c>
      <c r="AW323" s="223">
        <v>31</v>
      </c>
      <c r="AX323" s="223">
        <v>29</v>
      </c>
      <c r="AY323" s="235">
        <v>0.93500000000000005</v>
      </c>
      <c r="AZ323" s="223">
        <v>28</v>
      </c>
      <c r="BA323" s="235">
        <v>0.90300000000000002</v>
      </c>
      <c r="BB323" s="223">
        <v>27</v>
      </c>
      <c r="BC323" s="232">
        <v>0.871</v>
      </c>
    </row>
    <row r="324" spans="1:55" x14ac:dyDescent="0.25">
      <c r="A324" s="226">
        <v>1</v>
      </c>
      <c r="B324" s="211" t="s">
        <v>117</v>
      </c>
      <c r="C324" s="211">
        <v>973</v>
      </c>
      <c r="D324" s="211" t="s">
        <v>500</v>
      </c>
      <c r="E324" s="211">
        <v>437</v>
      </c>
      <c r="F324" s="211">
        <v>438</v>
      </c>
      <c r="G324" s="211"/>
      <c r="H324" s="220" t="str">
        <f>HYPERLINK("https://map.geo.admin.ch/?zoom=7&amp;E=620900&amp;N=224700&amp;layers=ch.kantone.cadastralwebmap-farbe,ch.swisstopo.amtliches-strassenverzeichnis,ch.bfs.gebaeude_wohnungs_register,KML||https://tinyurl.com/yy7ya4g9/BE/0973_bdg_erw.kml","KML building")</f>
        <v>KML building</v>
      </c>
      <c r="I324" s="154">
        <v>0</v>
      </c>
      <c r="J324" s="243" t="s">
        <v>1285</v>
      </c>
      <c r="K324" s="153">
        <v>0</v>
      </c>
      <c r="L324" s="64">
        <v>0</v>
      </c>
      <c r="M324" s="64"/>
      <c r="N324" s="200">
        <v>0</v>
      </c>
      <c r="O324" s="155"/>
      <c r="P324" s="63"/>
      <c r="Q324" s="64">
        <v>0</v>
      </c>
      <c r="R324" s="64"/>
      <c r="S324" s="200">
        <v>0</v>
      </c>
      <c r="T324" s="155"/>
      <c r="U324" s="63"/>
      <c r="V324" s="64">
        <v>0</v>
      </c>
      <c r="W324" s="64"/>
      <c r="X324" s="200">
        <v>0</v>
      </c>
      <c r="Y324" s="155"/>
      <c r="Z324" s="63"/>
      <c r="AA324" s="64">
        <v>0</v>
      </c>
      <c r="AB324" s="64"/>
      <c r="AC324" s="200">
        <v>0</v>
      </c>
      <c r="AD324" s="156"/>
      <c r="AE324" s="153"/>
      <c r="AF324" s="140">
        <v>0</v>
      </c>
      <c r="AG324" s="140"/>
      <c r="AH324" s="200">
        <v>0</v>
      </c>
      <c r="AI324" s="140"/>
      <c r="AJ324" s="153"/>
      <c r="AK324" s="140">
        <v>0</v>
      </c>
      <c r="AL324" s="140"/>
      <c r="AM324" s="200">
        <v>0</v>
      </c>
      <c r="AN324" s="156"/>
      <c r="AO324" s="230">
        <v>0</v>
      </c>
      <c r="AP324" s="223">
        <v>185</v>
      </c>
      <c r="AQ324" s="223">
        <v>154</v>
      </c>
      <c r="AR324" s="235">
        <v>0.83199999999999996</v>
      </c>
      <c r="AS324" s="223">
        <v>143</v>
      </c>
      <c r="AT324" s="235">
        <v>0.77300000000000002</v>
      </c>
      <c r="AU324" s="223">
        <v>140</v>
      </c>
      <c r="AV324" s="232">
        <v>0.75700000000000001</v>
      </c>
      <c r="AW324" s="223">
        <v>99</v>
      </c>
      <c r="AX324" s="223">
        <v>95</v>
      </c>
      <c r="AY324" s="235">
        <v>0.96</v>
      </c>
      <c r="AZ324" s="223">
        <v>93</v>
      </c>
      <c r="BA324" s="235">
        <v>0.93899999999999995</v>
      </c>
      <c r="BB324" s="223">
        <v>93</v>
      </c>
      <c r="BC324" s="232">
        <v>0.93899999999999995</v>
      </c>
    </row>
    <row r="325" spans="1:55" x14ac:dyDescent="0.25">
      <c r="A325" s="226">
        <v>1</v>
      </c>
      <c r="B325" s="211" t="s">
        <v>117</v>
      </c>
      <c r="C325" s="211">
        <v>975</v>
      </c>
      <c r="D325" s="211" t="s">
        <v>501</v>
      </c>
      <c r="E325" s="211">
        <v>221</v>
      </c>
      <c r="F325" s="211">
        <v>221</v>
      </c>
      <c r="G325" s="211"/>
      <c r="H325" s="220" t="str">
        <f>HYPERLINK("https://map.geo.admin.ch/?zoom=7&amp;E=613900&amp;N=235100&amp;layers=ch.kantone.cadastralwebmap-farbe,ch.swisstopo.amtliches-strassenverzeichnis,ch.bfs.gebaeude_wohnungs_register,KML||https://tinyurl.com/yy7ya4g9/BE/0975_bdg_erw.kml","KML building")</f>
        <v>KML building</v>
      </c>
      <c r="I325" s="154">
        <v>1</v>
      </c>
      <c r="J325" s="243" t="s">
        <v>1286</v>
      </c>
      <c r="K325" s="153">
        <v>4.5248868778280547E-3</v>
      </c>
      <c r="L325" s="64">
        <v>0</v>
      </c>
      <c r="M325" s="64"/>
      <c r="N325" s="200">
        <v>0</v>
      </c>
      <c r="O325" s="155"/>
      <c r="P325" s="63"/>
      <c r="Q325" s="64">
        <v>0</v>
      </c>
      <c r="R325" s="64"/>
      <c r="S325" s="200">
        <v>0</v>
      </c>
      <c r="T325" s="155"/>
      <c r="U325" s="63"/>
      <c r="V325" s="64">
        <v>0</v>
      </c>
      <c r="W325" s="64"/>
      <c r="X325" s="200">
        <v>0</v>
      </c>
      <c r="Y325" s="155"/>
      <c r="Z325" s="63"/>
      <c r="AA325" s="64">
        <v>0</v>
      </c>
      <c r="AB325" s="64"/>
      <c r="AC325" s="200">
        <v>0</v>
      </c>
      <c r="AD325" s="156"/>
      <c r="AE325" s="153"/>
      <c r="AF325" s="140">
        <v>1</v>
      </c>
      <c r="AG325" s="140"/>
      <c r="AH325" s="200">
        <v>4.4999999999999997E-3</v>
      </c>
      <c r="AI325" s="140"/>
      <c r="AJ325" s="153"/>
      <c r="AK325" s="140">
        <v>0</v>
      </c>
      <c r="AL325" s="140"/>
      <c r="AM325" s="200">
        <v>0</v>
      </c>
      <c r="AN325" s="156"/>
      <c r="AO325" s="230">
        <v>4.4999999999999997E-3</v>
      </c>
      <c r="AP325" s="223">
        <v>102</v>
      </c>
      <c r="AQ325" s="223">
        <v>92</v>
      </c>
      <c r="AR325" s="235">
        <v>0.90200000000000002</v>
      </c>
      <c r="AS325" s="223">
        <v>85</v>
      </c>
      <c r="AT325" s="235">
        <v>0.83299999999999996</v>
      </c>
      <c r="AU325" s="223">
        <v>82</v>
      </c>
      <c r="AV325" s="232">
        <v>0.80400000000000005</v>
      </c>
      <c r="AW325" s="223">
        <v>48</v>
      </c>
      <c r="AX325" s="223">
        <v>46</v>
      </c>
      <c r="AY325" s="235">
        <v>0.95799999999999996</v>
      </c>
      <c r="AZ325" s="223">
        <v>47</v>
      </c>
      <c r="BA325" s="235">
        <v>0.97899999999999998</v>
      </c>
      <c r="BB325" s="223">
        <v>45</v>
      </c>
      <c r="BC325" s="232">
        <v>0.93799999999999994</v>
      </c>
    </row>
    <row r="326" spans="1:55" x14ac:dyDescent="0.25">
      <c r="A326" s="226">
        <v>1</v>
      </c>
      <c r="B326" s="211" t="s">
        <v>117</v>
      </c>
      <c r="C326" s="211">
        <v>976</v>
      </c>
      <c r="D326" s="211" t="s">
        <v>502</v>
      </c>
      <c r="E326" s="211">
        <v>251</v>
      </c>
      <c r="F326" s="211">
        <v>253</v>
      </c>
      <c r="G326" s="211"/>
      <c r="H326" s="220" t="str">
        <f>HYPERLINK("https://map.geo.admin.ch/?zoom=7&amp;E=621300&amp;N=229600&amp;layers=ch.kantone.cadastralwebmap-farbe,ch.swisstopo.amtliches-strassenverzeichnis,ch.bfs.gebaeude_wohnungs_register,KML||https://tinyurl.com/yy7ya4g9/BE/0976_bdg_erw.kml","KML building")</f>
        <v>KML building</v>
      </c>
      <c r="I326" s="154">
        <v>0</v>
      </c>
      <c r="J326" s="243" t="s">
        <v>1287</v>
      </c>
      <c r="K326" s="153">
        <v>0</v>
      </c>
      <c r="L326" s="64">
        <v>0</v>
      </c>
      <c r="M326" s="64"/>
      <c r="N326" s="200">
        <v>0</v>
      </c>
      <c r="O326" s="155"/>
      <c r="P326" s="63"/>
      <c r="Q326" s="64">
        <v>0</v>
      </c>
      <c r="R326" s="64"/>
      <c r="S326" s="200">
        <v>0</v>
      </c>
      <c r="T326" s="155"/>
      <c r="U326" s="63"/>
      <c r="V326" s="64">
        <v>0</v>
      </c>
      <c r="W326" s="64"/>
      <c r="X326" s="200">
        <v>0</v>
      </c>
      <c r="Y326" s="155"/>
      <c r="Z326" s="63"/>
      <c r="AA326" s="64">
        <v>0</v>
      </c>
      <c r="AB326" s="64"/>
      <c r="AC326" s="200">
        <v>0</v>
      </c>
      <c r="AD326" s="156"/>
      <c r="AE326" s="153"/>
      <c r="AF326" s="140">
        <v>1</v>
      </c>
      <c r="AG326" s="140"/>
      <c r="AH326" s="200">
        <v>4.0000000000000001E-3</v>
      </c>
      <c r="AI326" s="140"/>
      <c r="AJ326" s="153"/>
      <c r="AK326" s="140">
        <v>0</v>
      </c>
      <c r="AL326" s="140"/>
      <c r="AM326" s="200">
        <v>0</v>
      </c>
      <c r="AN326" s="156"/>
      <c r="AO326" s="230">
        <v>4.0000000000000001E-3</v>
      </c>
      <c r="AP326" s="223">
        <v>126</v>
      </c>
      <c r="AQ326" s="223">
        <v>105</v>
      </c>
      <c r="AR326" s="235">
        <v>0.83299999999999996</v>
      </c>
      <c r="AS326" s="223">
        <v>96</v>
      </c>
      <c r="AT326" s="235">
        <v>0.76200000000000001</v>
      </c>
      <c r="AU326" s="223">
        <v>94</v>
      </c>
      <c r="AV326" s="232">
        <v>0.746</v>
      </c>
      <c r="AW326" s="223">
        <v>72</v>
      </c>
      <c r="AX326" s="223">
        <v>70</v>
      </c>
      <c r="AY326" s="235">
        <v>0.97199999999999998</v>
      </c>
      <c r="AZ326" s="223">
        <v>66</v>
      </c>
      <c r="BA326" s="235">
        <v>0.91700000000000004</v>
      </c>
      <c r="BB326" s="223">
        <v>65</v>
      </c>
      <c r="BC326" s="232">
        <v>0.90300000000000002</v>
      </c>
    </row>
    <row r="327" spans="1:55" x14ac:dyDescent="0.25">
      <c r="A327" s="226">
        <v>1</v>
      </c>
      <c r="B327" s="211" t="s">
        <v>117</v>
      </c>
      <c r="C327" s="211">
        <v>977</v>
      </c>
      <c r="D327" s="211" t="s">
        <v>503</v>
      </c>
      <c r="E327" s="211">
        <v>712</v>
      </c>
      <c r="F327" s="211">
        <v>718</v>
      </c>
      <c r="G327" s="211"/>
      <c r="H327" s="220" t="str">
        <f>HYPERLINK("https://map.geo.admin.ch/?zoom=7&amp;E=619800&amp;N=228800&amp;layers=ch.kantone.cadastralwebmap-farbe,ch.swisstopo.amtliches-strassenverzeichnis,ch.bfs.gebaeude_wohnungs_register,KML||https://tinyurl.com/yy7ya4g9/BE/0977_bdg_erw.kml","KML building")</f>
        <v>KML building</v>
      </c>
      <c r="I327" s="154">
        <v>2</v>
      </c>
      <c r="J327" s="243" t="s">
        <v>1288</v>
      </c>
      <c r="K327" s="153">
        <v>2.8089887640449437E-3</v>
      </c>
      <c r="L327" s="64">
        <v>0</v>
      </c>
      <c r="M327" s="64"/>
      <c r="N327" s="200">
        <v>0</v>
      </c>
      <c r="O327" s="155"/>
      <c r="P327" s="63"/>
      <c r="Q327" s="64">
        <v>0</v>
      </c>
      <c r="R327" s="64"/>
      <c r="S327" s="200">
        <v>0</v>
      </c>
      <c r="T327" s="155"/>
      <c r="U327" s="63"/>
      <c r="V327" s="64">
        <v>0</v>
      </c>
      <c r="W327" s="64"/>
      <c r="X327" s="200">
        <v>0</v>
      </c>
      <c r="Y327" s="155"/>
      <c r="Z327" s="63"/>
      <c r="AA327" s="64">
        <v>0</v>
      </c>
      <c r="AB327" s="64"/>
      <c r="AC327" s="200">
        <v>0</v>
      </c>
      <c r="AD327" s="156"/>
      <c r="AE327" s="153"/>
      <c r="AF327" s="140">
        <v>0</v>
      </c>
      <c r="AG327" s="140"/>
      <c r="AH327" s="200">
        <v>0</v>
      </c>
      <c r="AI327" s="140"/>
      <c r="AJ327" s="153"/>
      <c r="AK327" s="140">
        <v>0</v>
      </c>
      <c r="AL327" s="140"/>
      <c r="AM327" s="200">
        <v>0</v>
      </c>
      <c r="AN327" s="156"/>
      <c r="AO327" s="230">
        <v>0</v>
      </c>
      <c r="AP327" s="223">
        <v>323</v>
      </c>
      <c r="AQ327" s="223">
        <v>266</v>
      </c>
      <c r="AR327" s="235">
        <v>0.82399999999999995</v>
      </c>
      <c r="AS327" s="223">
        <v>246</v>
      </c>
      <c r="AT327" s="235">
        <v>0.76200000000000001</v>
      </c>
      <c r="AU327" s="223">
        <v>234</v>
      </c>
      <c r="AV327" s="232">
        <v>0.72399999999999998</v>
      </c>
      <c r="AW327" s="223">
        <v>187</v>
      </c>
      <c r="AX327" s="223">
        <v>178</v>
      </c>
      <c r="AY327" s="235">
        <v>0.95199999999999996</v>
      </c>
      <c r="AZ327" s="223">
        <v>166</v>
      </c>
      <c r="BA327" s="235">
        <v>0.88800000000000001</v>
      </c>
      <c r="BB327" s="223">
        <v>162</v>
      </c>
      <c r="BC327" s="232">
        <v>0.86599999999999999</v>
      </c>
    </row>
    <row r="328" spans="1:55" x14ac:dyDescent="0.25">
      <c r="A328" s="226">
        <v>1</v>
      </c>
      <c r="B328" s="211" t="s">
        <v>117</v>
      </c>
      <c r="C328" s="211">
        <v>979</v>
      </c>
      <c r="D328" s="211" t="s">
        <v>504</v>
      </c>
      <c r="E328" s="211">
        <v>3015</v>
      </c>
      <c r="F328" s="211">
        <v>3028</v>
      </c>
      <c r="G328" s="211"/>
      <c r="H328" s="220" t="str">
        <f>HYPERLINK("https://map.geo.admin.ch/?zoom=7&amp;E=620200&amp;N=226300&amp;layers=ch.kantone.cadastralwebmap-farbe,ch.swisstopo.amtliches-strassenverzeichnis,ch.bfs.gebaeude_wohnungs_register,KML||https://tinyurl.com/yy7ya4g9/BE/0979_bdg_erw.kml","KML building")</f>
        <v>KML building</v>
      </c>
      <c r="I328" s="154">
        <v>7</v>
      </c>
      <c r="J328" s="243" t="s">
        <v>1289</v>
      </c>
      <c r="K328" s="153">
        <v>2.3217247097844112E-3</v>
      </c>
      <c r="L328" s="64">
        <v>0</v>
      </c>
      <c r="M328" s="64"/>
      <c r="N328" s="200">
        <v>0</v>
      </c>
      <c r="O328" s="155"/>
      <c r="P328" s="63"/>
      <c r="Q328" s="64">
        <v>0</v>
      </c>
      <c r="R328" s="64"/>
      <c r="S328" s="200">
        <v>0</v>
      </c>
      <c r="T328" s="155"/>
      <c r="U328" s="63"/>
      <c r="V328" s="64">
        <v>0</v>
      </c>
      <c r="W328" s="64"/>
      <c r="X328" s="200">
        <v>0</v>
      </c>
      <c r="Y328" s="155"/>
      <c r="Z328" s="63"/>
      <c r="AA328" s="64">
        <v>0</v>
      </c>
      <c r="AB328" s="64"/>
      <c r="AC328" s="200">
        <v>0</v>
      </c>
      <c r="AD328" s="156"/>
      <c r="AE328" s="153"/>
      <c r="AF328" s="140">
        <v>2</v>
      </c>
      <c r="AG328" s="140"/>
      <c r="AH328" s="200">
        <v>6.9999999999999999E-4</v>
      </c>
      <c r="AI328" s="140"/>
      <c r="AJ328" s="153"/>
      <c r="AK328" s="140">
        <v>3</v>
      </c>
      <c r="AL328" s="140"/>
      <c r="AM328" s="200">
        <v>1E-3</v>
      </c>
      <c r="AN328" s="156"/>
      <c r="AO328" s="230">
        <v>1.7000000000000001E-3</v>
      </c>
      <c r="AP328" s="223">
        <v>1137</v>
      </c>
      <c r="AQ328" s="223">
        <v>907</v>
      </c>
      <c r="AR328" s="235">
        <v>0.79800000000000004</v>
      </c>
      <c r="AS328" s="223">
        <v>875</v>
      </c>
      <c r="AT328" s="235">
        <v>0.77</v>
      </c>
      <c r="AU328" s="223">
        <v>836</v>
      </c>
      <c r="AV328" s="232">
        <v>0.73499999999999999</v>
      </c>
      <c r="AW328" s="223">
        <v>610</v>
      </c>
      <c r="AX328" s="223">
        <v>556</v>
      </c>
      <c r="AY328" s="235">
        <v>0.91100000000000003</v>
      </c>
      <c r="AZ328" s="223">
        <v>538</v>
      </c>
      <c r="BA328" s="235">
        <v>0.88200000000000001</v>
      </c>
      <c r="BB328" s="223">
        <v>527</v>
      </c>
      <c r="BC328" s="232">
        <v>0.86399999999999999</v>
      </c>
    </row>
    <row r="329" spans="1:55" x14ac:dyDescent="0.25">
      <c r="A329" s="226">
        <v>1</v>
      </c>
      <c r="B329" s="211" t="s">
        <v>117</v>
      </c>
      <c r="C329" s="211">
        <v>980</v>
      </c>
      <c r="D329" s="211" t="s">
        <v>505</v>
      </c>
      <c r="E329" s="211">
        <v>468</v>
      </c>
      <c r="F329" s="211">
        <v>468</v>
      </c>
      <c r="G329" s="211"/>
      <c r="H329" s="220" t="str">
        <f>HYPERLINK("https://map.geo.admin.ch/?zoom=7&amp;E=617600&amp;N=227900&amp;layers=ch.kantone.cadastralwebmap-farbe,ch.swisstopo.amtliches-strassenverzeichnis,ch.bfs.gebaeude_wohnungs_register,KML||https://tinyurl.com/yy7ya4g9/BE/0980_bdg_erw.kml","KML building")</f>
        <v>KML building</v>
      </c>
      <c r="I329" s="154">
        <v>0</v>
      </c>
      <c r="J329" s="243" t="s">
        <v>1290</v>
      </c>
      <c r="K329" s="153">
        <v>0</v>
      </c>
      <c r="L329" s="64">
        <v>0</v>
      </c>
      <c r="M329" s="64"/>
      <c r="N329" s="200">
        <v>0</v>
      </c>
      <c r="O329" s="155"/>
      <c r="P329" s="63"/>
      <c r="Q329" s="64">
        <v>0</v>
      </c>
      <c r="R329" s="64"/>
      <c r="S329" s="200">
        <v>0</v>
      </c>
      <c r="T329" s="155"/>
      <c r="U329" s="63"/>
      <c r="V329" s="64">
        <v>0</v>
      </c>
      <c r="W329" s="64"/>
      <c r="X329" s="200">
        <v>0</v>
      </c>
      <c r="Y329" s="155"/>
      <c r="Z329" s="63"/>
      <c r="AA329" s="64">
        <v>0</v>
      </c>
      <c r="AB329" s="64"/>
      <c r="AC329" s="200">
        <v>0</v>
      </c>
      <c r="AD329" s="156"/>
      <c r="AE329" s="153"/>
      <c r="AF329" s="140">
        <v>1</v>
      </c>
      <c r="AG329" s="140"/>
      <c r="AH329" s="200">
        <v>2.0999999999999999E-3</v>
      </c>
      <c r="AI329" s="140"/>
      <c r="AJ329" s="153"/>
      <c r="AK329" s="140">
        <v>0</v>
      </c>
      <c r="AL329" s="140"/>
      <c r="AM329" s="200">
        <v>0</v>
      </c>
      <c r="AN329" s="156"/>
      <c r="AO329" s="230">
        <v>2.0999999999999999E-3</v>
      </c>
      <c r="AP329" s="223">
        <v>191</v>
      </c>
      <c r="AQ329" s="223">
        <v>161</v>
      </c>
      <c r="AR329" s="235">
        <v>0.84299999999999997</v>
      </c>
      <c r="AS329" s="223">
        <v>144</v>
      </c>
      <c r="AT329" s="235">
        <v>0.754</v>
      </c>
      <c r="AU329" s="223">
        <v>140</v>
      </c>
      <c r="AV329" s="232">
        <v>0.73299999999999998</v>
      </c>
      <c r="AW329" s="223">
        <v>101</v>
      </c>
      <c r="AX329" s="223">
        <v>98</v>
      </c>
      <c r="AY329" s="235">
        <v>0.97</v>
      </c>
      <c r="AZ329" s="223">
        <v>96</v>
      </c>
      <c r="BA329" s="235">
        <v>0.95</v>
      </c>
      <c r="BB329" s="223">
        <v>96</v>
      </c>
      <c r="BC329" s="232">
        <v>0.95</v>
      </c>
    </row>
    <row r="330" spans="1:55" x14ac:dyDescent="0.25">
      <c r="A330" s="226">
        <v>1</v>
      </c>
      <c r="B330" s="211" t="s">
        <v>117</v>
      </c>
      <c r="C330" s="211">
        <v>981</v>
      </c>
      <c r="D330" s="211" t="s">
        <v>506</v>
      </c>
      <c r="E330" s="211">
        <v>2564</v>
      </c>
      <c r="F330" s="211">
        <v>2573</v>
      </c>
      <c r="G330" s="211"/>
      <c r="H330" s="220" t="str">
        <f>HYPERLINK("https://map.geo.admin.ch/?zoom=7&amp;E=619500&amp;N=235100&amp;layers=ch.kantone.cadastralwebmap-farbe,ch.swisstopo.amtliches-strassenverzeichnis,ch.bfs.gebaeude_wohnungs_register,KML||https://tinyurl.com/yy7ya4g9/BE/0981_bdg_erw.kml","KML building")</f>
        <v>KML building</v>
      </c>
      <c r="I330" s="154">
        <v>6</v>
      </c>
      <c r="J330" s="243" t="s">
        <v>1291</v>
      </c>
      <c r="K330" s="153">
        <v>2.3400936037441498E-3</v>
      </c>
      <c r="L330" s="64">
        <v>0</v>
      </c>
      <c r="M330" s="64"/>
      <c r="N330" s="200">
        <v>0</v>
      </c>
      <c r="O330" s="155"/>
      <c r="P330" s="63"/>
      <c r="Q330" s="64">
        <v>0</v>
      </c>
      <c r="R330" s="64"/>
      <c r="S330" s="200">
        <v>0</v>
      </c>
      <c r="T330" s="155"/>
      <c r="U330" s="63"/>
      <c r="V330" s="64">
        <v>0</v>
      </c>
      <c r="W330" s="64"/>
      <c r="X330" s="200">
        <v>0</v>
      </c>
      <c r="Y330" s="155"/>
      <c r="Z330" s="63"/>
      <c r="AA330" s="64">
        <v>0</v>
      </c>
      <c r="AB330" s="64"/>
      <c r="AC330" s="200">
        <v>0</v>
      </c>
      <c r="AD330" s="156"/>
      <c r="AE330" s="153"/>
      <c r="AF330" s="140">
        <v>5</v>
      </c>
      <c r="AG330" s="140"/>
      <c r="AH330" s="200">
        <v>2E-3</v>
      </c>
      <c r="AI330" s="140"/>
      <c r="AJ330" s="153"/>
      <c r="AK330" s="140">
        <v>0</v>
      </c>
      <c r="AL330" s="140"/>
      <c r="AM330" s="200">
        <v>0</v>
      </c>
      <c r="AN330" s="156"/>
      <c r="AO330" s="230">
        <v>2E-3</v>
      </c>
      <c r="AP330" s="223">
        <v>1062</v>
      </c>
      <c r="AQ330" s="223">
        <v>867</v>
      </c>
      <c r="AR330" s="235">
        <v>0.81599999999999995</v>
      </c>
      <c r="AS330" s="223">
        <v>783</v>
      </c>
      <c r="AT330" s="235">
        <v>0.73699999999999999</v>
      </c>
      <c r="AU330" s="223">
        <v>745</v>
      </c>
      <c r="AV330" s="232">
        <v>0.70199999999999996</v>
      </c>
      <c r="AW330" s="223">
        <v>547</v>
      </c>
      <c r="AX330" s="223">
        <v>516</v>
      </c>
      <c r="AY330" s="235">
        <v>0.94299999999999995</v>
      </c>
      <c r="AZ330" s="223">
        <v>471</v>
      </c>
      <c r="BA330" s="235">
        <v>0.86099999999999999</v>
      </c>
      <c r="BB330" s="223">
        <v>460</v>
      </c>
      <c r="BC330" s="232">
        <v>0.84099999999999997</v>
      </c>
    </row>
    <row r="331" spans="1:55" x14ac:dyDescent="0.25">
      <c r="A331" s="226">
        <v>1</v>
      </c>
      <c r="B331" s="211" t="s">
        <v>117</v>
      </c>
      <c r="C331" s="211">
        <v>982</v>
      </c>
      <c r="D331" s="211" t="s">
        <v>507</v>
      </c>
      <c r="E331" s="211">
        <v>730</v>
      </c>
      <c r="F331" s="211">
        <v>730</v>
      </c>
      <c r="G331" s="211"/>
      <c r="H331" s="220" t="str">
        <f>HYPERLINK("https://map.geo.admin.ch/?zoom=7&amp;E=619200&amp;N=226300&amp;layers=ch.kantone.cadastralwebmap-farbe,ch.swisstopo.amtliches-strassenverzeichnis,ch.bfs.gebaeude_wohnungs_register,KML||https://tinyurl.com/yy7ya4g9/BE/0982_bdg_erw.kml","KML building")</f>
        <v>KML building</v>
      </c>
      <c r="I331" s="154">
        <v>0</v>
      </c>
      <c r="J331" s="243" t="s">
        <v>1292</v>
      </c>
      <c r="K331" s="153">
        <v>0</v>
      </c>
      <c r="L331" s="64">
        <v>0</v>
      </c>
      <c r="M331" s="64"/>
      <c r="N331" s="200">
        <v>0</v>
      </c>
      <c r="O331" s="155"/>
      <c r="P331" s="63"/>
      <c r="Q331" s="64">
        <v>0</v>
      </c>
      <c r="R331" s="64"/>
      <c r="S331" s="200">
        <v>0</v>
      </c>
      <c r="T331" s="155"/>
      <c r="U331" s="63"/>
      <c r="V331" s="64">
        <v>0</v>
      </c>
      <c r="W331" s="64"/>
      <c r="X331" s="200">
        <v>0</v>
      </c>
      <c r="Y331" s="155"/>
      <c r="Z331" s="63"/>
      <c r="AA331" s="64">
        <v>0</v>
      </c>
      <c r="AB331" s="64"/>
      <c r="AC331" s="200">
        <v>0</v>
      </c>
      <c r="AD331" s="156"/>
      <c r="AE331" s="153"/>
      <c r="AF331" s="140">
        <v>2</v>
      </c>
      <c r="AG331" s="140"/>
      <c r="AH331" s="200">
        <v>2.7000000000000001E-3</v>
      </c>
      <c r="AI331" s="140"/>
      <c r="AJ331" s="153"/>
      <c r="AK331" s="140">
        <v>1</v>
      </c>
      <c r="AL331" s="140"/>
      <c r="AM331" s="200">
        <v>1.4E-3</v>
      </c>
      <c r="AN331" s="156"/>
      <c r="AO331" s="230">
        <v>4.1000000000000003E-3</v>
      </c>
      <c r="AP331" s="223">
        <v>262</v>
      </c>
      <c r="AQ331" s="223">
        <v>219</v>
      </c>
      <c r="AR331" s="235">
        <v>0.83599999999999997</v>
      </c>
      <c r="AS331" s="223">
        <v>180</v>
      </c>
      <c r="AT331" s="235">
        <v>0.68700000000000006</v>
      </c>
      <c r="AU331" s="223">
        <v>176</v>
      </c>
      <c r="AV331" s="232">
        <v>0.67200000000000004</v>
      </c>
      <c r="AW331" s="223">
        <v>122</v>
      </c>
      <c r="AX331" s="223">
        <v>116</v>
      </c>
      <c r="AY331" s="235">
        <v>0.95099999999999996</v>
      </c>
      <c r="AZ331" s="223">
        <v>109</v>
      </c>
      <c r="BA331" s="235">
        <v>0.89300000000000002</v>
      </c>
      <c r="BB331" s="223">
        <v>106</v>
      </c>
      <c r="BC331" s="232">
        <v>0.86899999999999999</v>
      </c>
    </row>
    <row r="332" spans="1:55" x14ac:dyDescent="0.25">
      <c r="A332" s="226">
        <v>1</v>
      </c>
      <c r="B332" s="211" t="s">
        <v>117</v>
      </c>
      <c r="C332" s="211">
        <v>983</v>
      </c>
      <c r="D332" s="211" t="s">
        <v>508</v>
      </c>
      <c r="E332" s="211">
        <v>978</v>
      </c>
      <c r="F332" s="211">
        <v>981</v>
      </c>
      <c r="G332" s="211"/>
      <c r="H332" s="220" t="str">
        <f>HYPERLINK("https://map.geo.admin.ch/?zoom=7&amp;E=616800&amp;N=234400&amp;layers=ch.kantone.cadastralwebmap-farbe,ch.swisstopo.amtliches-strassenverzeichnis,ch.bfs.gebaeude_wohnungs_register,KML||https://tinyurl.com/yy7ya4g9/BE/0983_bdg_erw.kml","KML building")</f>
        <v>KML building</v>
      </c>
      <c r="I332" s="154">
        <v>0</v>
      </c>
      <c r="J332" s="243" t="s">
        <v>1293</v>
      </c>
      <c r="K332" s="153">
        <v>0</v>
      </c>
      <c r="L332" s="64">
        <v>0</v>
      </c>
      <c r="M332" s="64"/>
      <c r="N332" s="200">
        <v>0</v>
      </c>
      <c r="O332" s="155"/>
      <c r="P332" s="63"/>
      <c r="Q332" s="64">
        <v>0</v>
      </c>
      <c r="R332" s="64"/>
      <c r="S332" s="200">
        <v>0</v>
      </c>
      <c r="T332" s="155"/>
      <c r="U332" s="63"/>
      <c r="V332" s="64">
        <v>0</v>
      </c>
      <c r="W332" s="64"/>
      <c r="X332" s="200">
        <v>0</v>
      </c>
      <c r="Y332" s="155"/>
      <c r="Z332" s="63"/>
      <c r="AA332" s="64">
        <v>0</v>
      </c>
      <c r="AB332" s="64"/>
      <c r="AC332" s="200">
        <v>0</v>
      </c>
      <c r="AD332" s="156"/>
      <c r="AE332" s="153"/>
      <c r="AF332" s="140">
        <v>1</v>
      </c>
      <c r="AG332" s="140"/>
      <c r="AH332" s="200">
        <v>1E-3</v>
      </c>
      <c r="AI332" s="140"/>
      <c r="AJ332" s="153"/>
      <c r="AK332" s="140">
        <v>0</v>
      </c>
      <c r="AL332" s="140"/>
      <c r="AM332" s="200">
        <v>0</v>
      </c>
      <c r="AN332" s="156"/>
      <c r="AO332" s="230">
        <v>1E-3</v>
      </c>
      <c r="AP332" s="223">
        <v>408</v>
      </c>
      <c r="AQ332" s="223">
        <v>334</v>
      </c>
      <c r="AR332" s="235">
        <v>0.81899999999999995</v>
      </c>
      <c r="AS332" s="223">
        <v>304</v>
      </c>
      <c r="AT332" s="235">
        <v>0.745</v>
      </c>
      <c r="AU332" s="223">
        <v>289</v>
      </c>
      <c r="AV332" s="232">
        <v>0.70799999999999996</v>
      </c>
      <c r="AW332" s="223">
        <v>237</v>
      </c>
      <c r="AX332" s="223">
        <v>225</v>
      </c>
      <c r="AY332" s="235">
        <v>0.94899999999999995</v>
      </c>
      <c r="AZ332" s="223">
        <v>199</v>
      </c>
      <c r="BA332" s="235">
        <v>0.84</v>
      </c>
      <c r="BB332" s="223">
        <v>198</v>
      </c>
      <c r="BC332" s="232">
        <v>0.83499999999999996</v>
      </c>
    </row>
    <row r="333" spans="1:55" x14ac:dyDescent="0.25">
      <c r="A333" s="226">
        <v>1</v>
      </c>
      <c r="B333" s="211" t="s">
        <v>117</v>
      </c>
      <c r="C333" s="211">
        <v>985</v>
      </c>
      <c r="D333" s="211" t="s">
        <v>509</v>
      </c>
      <c r="E333" s="211">
        <v>556</v>
      </c>
      <c r="F333" s="211">
        <v>556</v>
      </c>
      <c r="G333" s="211"/>
      <c r="H333" s="220" t="str">
        <f>HYPERLINK("https://map.geo.admin.ch/?zoom=7&amp;E=622500&amp;N=222100&amp;layers=ch.kantone.cadastralwebmap-farbe,ch.swisstopo.amtliches-strassenverzeichnis,ch.bfs.gebaeude_wohnungs_register,KML||https://tinyurl.com/yy7ya4g9/BE/0985_bdg_erw.kml","KML building")</f>
        <v>KML building</v>
      </c>
      <c r="I333" s="154">
        <v>0</v>
      </c>
      <c r="J333" s="243" t="s">
        <v>1294</v>
      </c>
      <c r="K333" s="153">
        <v>0</v>
      </c>
      <c r="L333" s="64">
        <v>0</v>
      </c>
      <c r="M333" s="64"/>
      <c r="N333" s="200">
        <v>0</v>
      </c>
      <c r="O333" s="155"/>
      <c r="P333" s="63"/>
      <c r="Q333" s="64">
        <v>0</v>
      </c>
      <c r="R333" s="64"/>
      <c r="S333" s="200">
        <v>0</v>
      </c>
      <c r="T333" s="155"/>
      <c r="U333" s="63"/>
      <c r="V333" s="64">
        <v>0</v>
      </c>
      <c r="W333" s="64"/>
      <c r="X333" s="200">
        <v>0</v>
      </c>
      <c r="Y333" s="155"/>
      <c r="Z333" s="63"/>
      <c r="AA333" s="64">
        <v>0</v>
      </c>
      <c r="AB333" s="64"/>
      <c r="AC333" s="200">
        <v>0</v>
      </c>
      <c r="AD333" s="156"/>
      <c r="AE333" s="153"/>
      <c r="AF333" s="140">
        <v>1</v>
      </c>
      <c r="AG333" s="140"/>
      <c r="AH333" s="200">
        <v>1.8E-3</v>
      </c>
      <c r="AI333" s="140"/>
      <c r="AJ333" s="153"/>
      <c r="AK333" s="140">
        <v>0</v>
      </c>
      <c r="AL333" s="140"/>
      <c r="AM333" s="200">
        <v>0</v>
      </c>
      <c r="AN333" s="156"/>
      <c r="AO333" s="230">
        <v>1.8E-3</v>
      </c>
      <c r="AP333" s="223">
        <v>289</v>
      </c>
      <c r="AQ333" s="223">
        <v>239</v>
      </c>
      <c r="AR333" s="235">
        <v>0.82699999999999996</v>
      </c>
      <c r="AS333" s="223">
        <v>212</v>
      </c>
      <c r="AT333" s="235">
        <v>0.73399999999999999</v>
      </c>
      <c r="AU333" s="223">
        <v>209</v>
      </c>
      <c r="AV333" s="232">
        <v>0.72299999999999998</v>
      </c>
      <c r="AW333" s="223">
        <v>173</v>
      </c>
      <c r="AX333" s="223">
        <v>171</v>
      </c>
      <c r="AY333" s="235">
        <v>0.98799999999999999</v>
      </c>
      <c r="AZ333" s="223">
        <v>162</v>
      </c>
      <c r="BA333" s="235">
        <v>0.93600000000000005</v>
      </c>
      <c r="BB333" s="223">
        <v>160</v>
      </c>
      <c r="BC333" s="232">
        <v>0.92500000000000004</v>
      </c>
    </row>
    <row r="334" spans="1:55" x14ac:dyDescent="0.25">
      <c r="A334" s="226">
        <v>1</v>
      </c>
      <c r="B334" s="211" t="s">
        <v>117</v>
      </c>
      <c r="C334" s="211">
        <v>987</v>
      </c>
      <c r="D334" s="211" t="s">
        <v>510</v>
      </c>
      <c r="E334" s="211">
        <v>388</v>
      </c>
      <c r="F334" s="211">
        <v>389</v>
      </c>
      <c r="G334" s="211"/>
      <c r="H334" s="220" t="str">
        <f>HYPERLINK("https://map.geo.admin.ch/?zoom=7&amp;E=615300&amp;N=234800&amp;layers=ch.kantone.cadastralwebmap-farbe,ch.swisstopo.amtliches-strassenverzeichnis,ch.bfs.gebaeude_wohnungs_register,KML||https://tinyurl.com/yy7ya4g9/BE/0987_bdg_erw.kml","KML building")</f>
        <v>KML building</v>
      </c>
      <c r="I334" s="154">
        <v>0</v>
      </c>
      <c r="J334" s="243" t="s">
        <v>1295</v>
      </c>
      <c r="K334" s="153">
        <v>0</v>
      </c>
      <c r="L334" s="64">
        <v>0</v>
      </c>
      <c r="M334" s="64"/>
      <c r="N334" s="200">
        <v>0</v>
      </c>
      <c r="O334" s="155"/>
      <c r="P334" s="63"/>
      <c r="Q334" s="64">
        <v>0</v>
      </c>
      <c r="R334" s="64"/>
      <c r="S334" s="200">
        <v>0</v>
      </c>
      <c r="T334" s="155"/>
      <c r="U334" s="63"/>
      <c r="V334" s="64">
        <v>0</v>
      </c>
      <c r="W334" s="64"/>
      <c r="X334" s="200">
        <v>0</v>
      </c>
      <c r="Y334" s="155"/>
      <c r="Z334" s="63"/>
      <c r="AA334" s="64">
        <v>0</v>
      </c>
      <c r="AB334" s="64"/>
      <c r="AC334" s="200">
        <v>0</v>
      </c>
      <c r="AD334" s="156"/>
      <c r="AE334" s="153"/>
      <c r="AF334" s="140">
        <v>0</v>
      </c>
      <c r="AG334" s="140"/>
      <c r="AH334" s="200">
        <v>0</v>
      </c>
      <c r="AI334" s="140"/>
      <c r="AJ334" s="153"/>
      <c r="AK334" s="140">
        <v>0</v>
      </c>
      <c r="AL334" s="140"/>
      <c r="AM334" s="200">
        <v>0</v>
      </c>
      <c r="AN334" s="156"/>
      <c r="AO334" s="230">
        <v>0</v>
      </c>
      <c r="AP334" s="223">
        <v>158</v>
      </c>
      <c r="AQ334" s="223">
        <v>140</v>
      </c>
      <c r="AR334" s="235">
        <v>0.88600000000000001</v>
      </c>
      <c r="AS334" s="223">
        <v>125</v>
      </c>
      <c r="AT334" s="235">
        <v>0.79100000000000004</v>
      </c>
      <c r="AU334" s="223">
        <v>124</v>
      </c>
      <c r="AV334" s="232">
        <v>0.78500000000000003</v>
      </c>
      <c r="AW334" s="223">
        <v>78</v>
      </c>
      <c r="AX334" s="223">
        <v>77</v>
      </c>
      <c r="AY334" s="235">
        <v>0.98699999999999999</v>
      </c>
      <c r="AZ334" s="223">
        <v>72</v>
      </c>
      <c r="BA334" s="235">
        <v>0.92300000000000004</v>
      </c>
      <c r="BB334" s="223">
        <v>72</v>
      </c>
      <c r="BC334" s="232">
        <v>0.92300000000000004</v>
      </c>
    </row>
    <row r="335" spans="1:55" x14ac:dyDescent="0.25">
      <c r="A335" s="226">
        <v>1</v>
      </c>
      <c r="B335" s="211" t="s">
        <v>117</v>
      </c>
      <c r="C335" s="211">
        <v>988</v>
      </c>
      <c r="D335" s="211" t="s">
        <v>511</v>
      </c>
      <c r="E335" s="211">
        <v>1249</v>
      </c>
      <c r="F335" s="211">
        <v>1251</v>
      </c>
      <c r="G335" s="211"/>
      <c r="H335" s="220" t="str">
        <f>HYPERLINK("https://map.geo.admin.ch/?zoom=7&amp;E=617500&amp;N=222000&amp;layers=ch.kantone.cadastralwebmap-farbe,ch.swisstopo.amtliches-strassenverzeichnis,ch.bfs.gebaeude_wohnungs_register,KML||https://tinyurl.com/yy7ya4g9/BE/0988_bdg_erw.kml","KML building")</f>
        <v>KML building</v>
      </c>
      <c r="I335" s="154">
        <v>0</v>
      </c>
      <c r="J335" s="243" t="s">
        <v>1296</v>
      </c>
      <c r="K335" s="153">
        <v>0</v>
      </c>
      <c r="L335" s="64">
        <v>0</v>
      </c>
      <c r="M335" s="64"/>
      <c r="N335" s="200">
        <v>0</v>
      </c>
      <c r="O335" s="155"/>
      <c r="P335" s="63"/>
      <c r="Q335" s="64">
        <v>0</v>
      </c>
      <c r="R335" s="64"/>
      <c r="S335" s="200">
        <v>0</v>
      </c>
      <c r="T335" s="155"/>
      <c r="U335" s="63"/>
      <c r="V335" s="64">
        <v>0</v>
      </c>
      <c r="W335" s="64"/>
      <c r="X335" s="200">
        <v>0</v>
      </c>
      <c r="Y335" s="155"/>
      <c r="Z335" s="63"/>
      <c r="AA335" s="64">
        <v>0</v>
      </c>
      <c r="AB335" s="64"/>
      <c r="AC335" s="200">
        <v>0</v>
      </c>
      <c r="AD335" s="156"/>
      <c r="AE335" s="153"/>
      <c r="AF335" s="140">
        <v>0</v>
      </c>
      <c r="AG335" s="140"/>
      <c r="AH335" s="200">
        <v>0</v>
      </c>
      <c r="AI335" s="140"/>
      <c r="AJ335" s="153"/>
      <c r="AK335" s="140">
        <v>0</v>
      </c>
      <c r="AL335" s="140"/>
      <c r="AM335" s="200">
        <v>0</v>
      </c>
      <c r="AN335" s="156"/>
      <c r="AO335" s="230">
        <v>0</v>
      </c>
      <c r="AP335" s="223">
        <v>635</v>
      </c>
      <c r="AQ335" s="223">
        <v>523</v>
      </c>
      <c r="AR335" s="235">
        <v>0.82399999999999995</v>
      </c>
      <c r="AS335" s="223">
        <v>473</v>
      </c>
      <c r="AT335" s="235">
        <v>0.745</v>
      </c>
      <c r="AU335" s="223">
        <v>454</v>
      </c>
      <c r="AV335" s="232">
        <v>0.71499999999999997</v>
      </c>
      <c r="AW335" s="223">
        <v>384</v>
      </c>
      <c r="AX335" s="223">
        <v>370</v>
      </c>
      <c r="AY335" s="235">
        <v>0.96399999999999997</v>
      </c>
      <c r="AZ335" s="223">
        <v>337</v>
      </c>
      <c r="BA335" s="235">
        <v>0.878</v>
      </c>
      <c r="BB335" s="223">
        <v>334</v>
      </c>
      <c r="BC335" s="232">
        <v>0.87</v>
      </c>
    </row>
    <row r="336" spans="1:55" x14ac:dyDescent="0.25">
      <c r="A336" s="226">
        <v>1</v>
      </c>
      <c r="B336" s="211" t="s">
        <v>117</v>
      </c>
      <c r="C336" s="211">
        <v>989</v>
      </c>
      <c r="D336" s="211" t="s">
        <v>512</v>
      </c>
      <c r="E336" s="211">
        <v>609</v>
      </c>
      <c r="F336" s="211">
        <v>614</v>
      </c>
      <c r="G336" s="211"/>
      <c r="H336" s="220" t="str">
        <f>HYPERLINK("https://map.geo.admin.ch/?zoom=7&amp;E=622000&amp;N=224800&amp;layers=ch.kantone.cadastralwebmap-farbe,ch.swisstopo.amtliches-strassenverzeichnis,ch.bfs.gebaeude_wohnungs_register,KML||https://tinyurl.com/yy7ya4g9/BE/0989_bdg_erw.kml","KML building")</f>
        <v>KML building</v>
      </c>
      <c r="I336" s="154">
        <v>0</v>
      </c>
      <c r="J336" s="243" t="s">
        <v>1297</v>
      </c>
      <c r="K336" s="153">
        <v>0</v>
      </c>
      <c r="L336" s="64">
        <v>0</v>
      </c>
      <c r="M336" s="64"/>
      <c r="N336" s="200">
        <v>0</v>
      </c>
      <c r="O336" s="155"/>
      <c r="P336" s="63"/>
      <c r="Q336" s="64">
        <v>0</v>
      </c>
      <c r="R336" s="64"/>
      <c r="S336" s="200">
        <v>0</v>
      </c>
      <c r="T336" s="155"/>
      <c r="U336" s="63"/>
      <c r="V336" s="64">
        <v>0</v>
      </c>
      <c r="W336" s="64"/>
      <c r="X336" s="200">
        <v>0</v>
      </c>
      <c r="Y336" s="155"/>
      <c r="Z336" s="63"/>
      <c r="AA336" s="64">
        <v>0</v>
      </c>
      <c r="AB336" s="64"/>
      <c r="AC336" s="200">
        <v>0</v>
      </c>
      <c r="AD336" s="156"/>
      <c r="AE336" s="153"/>
      <c r="AF336" s="140">
        <v>1</v>
      </c>
      <c r="AG336" s="140"/>
      <c r="AH336" s="200">
        <v>1.6000000000000001E-3</v>
      </c>
      <c r="AI336" s="140"/>
      <c r="AJ336" s="153"/>
      <c r="AK336" s="140">
        <v>0</v>
      </c>
      <c r="AL336" s="140"/>
      <c r="AM336" s="200">
        <v>0</v>
      </c>
      <c r="AN336" s="156"/>
      <c r="AO336" s="230">
        <v>1.6000000000000001E-3</v>
      </c>
      <c r="AP336" s="223">
        <v>238</v>
      </c>
      <c r="AQ336" s="223">
        <v>192</v>
      </c>
      <c r="AR336" s="235">
        <v>0.80700000000000005</v>
      </c>
      <c r="AS336" s="223">
        <v>175</v>
      </c>
      <c r="AT336" s="235">
        <v>0.73499999999999999</v>
      </c>
      <c r="AU336" s="223">
        <v>169</v>
      </c>
      <c r="AV336" s="232">
        <v>0.71</v>
      </c>
      <c r="AW336" s="223">
        <v>143</v>
      </c>
      <c r="AX336" s="223">
        <v>134</v>
      </c>
      <c r="AY336" s="235">
        <v>0.93700000000000006</v>
      </c>
      <c r="AZ336" s="223">
        <v>125</v>
      </c>
      <c r="BA336" s="235">
        <v>0.874</v>
      </c>
      <c r="BB336" s="223">
        <v>124</v>
      </c>
      <c r="BC336" s="232">
        <v>0.86699999999999999</v>
      </c>
    </row>
    <row r="337" spans="1:55" x14ac:dyDescent="0.25">
      <c r="A337" s="226">
        <v>1</v>
      </c>
      <c r="B337" s="211" t="s">
        <v>117</v>
      </c>
      <c r="C337" s="211">
        <v>990</v>
      </c>
      <c r="D337" s="211" t="s">
        <v>513</v>
      </c>
      <c r="E337" s="211">
        <v>182</v>
      </c>
      <c r="F337" s="211">
        <v>182</v>
      </c>
      <c r="G337" s="211"/>
      <c r="H337" s="220" t="str">
        <f>HYPERLINK("https://map.geo.admin.ch/?zoom=7&amp;E=619100&amp;N=231700&amp;layers=ch.kantone.cadastralwebmap-farbe,ch.swisstopo.amtliches-strassenverzeichnis,ch.bfs.gebaeude_wohnungs_register,KML||https://tinyurl.com/yy7ya4g9/BE/0990_bdg_erw.kml","KML building")</f>
        <v>KML building</v>
      </c>
      <c r="I337" s="154">
        <v>0</v>
      </c>
      <c r="J337" s="243" t="s">
        <v>1298</v>
      </c>
      <c r="K337" s="153">
        <v>0</v>
      </c>
      <c r="L337" s="64">
        <v>0</v>
      </c>
      <c r="M337" s="64"/>
      <c r="N337" s="200">
        <v>0</v>
      </c>
      <c r="O337" s="155"/>
      <c r="P337" s="63"/>
      <c r="Q337" s="64">
        <v>0</v>
      </c>
      <c r="R337" s="64"/>
      <c r="S337" s="200">
        <v>0</v>
      </c>
      <c r="T337" s="155"/>
      <c r="U337" s="63"/>
      <c r="V337" s="64">
        <v>0</v>
      </c>
      <c r="W337" s="64"/>
      <c r="X337" s="200">
        <v>0</v>
      </c>
      <c r="Y337" s="155"/>
      <c r="Z337" s="63"/>
      <c r="AA337" s="64">
        <v>0</v>
      </c>
      <c r="AB337" s="64"/>
      <c r="AC337" s="200">
        <v>0</v>
      </c>
      <c r="AD337" s="156"/>
      <c r="AE337" s="153"/>
      <c r="AF337" s="140">
        <v>0</v>
      </c>
      <c r="AG337" s="140"/>
      <c r="AH337" s="200">
        <v>0</v>
      </c>
      <c r="AI337" s="140"/>
      <c r="AJ337" s="153"/>
      <c r="AK337" s="140">
        <v>0</v>
      </c>
      <c r="AL337" s="140"/>
      <c r="AM337" s="200">
        <v>0</v>
      </c>
      <c r="AN337" s="156"/>
      <c r="AO337" s="230">
        <v>0</v>
      </c>
      <c r="AP337" s="223">
        <v>88</v>
      </c>
      <c r="AQ337" s="223">
        <v>87</v>
      </c>
      <c r="AR337" s="235">
        <v>0.98899999999999999</v>
      </c>
      <c r="AS337" s="223">
        <v>67</v>
      </c>
      <c r="AT337" s="235">
        <v>0.76100000000000001</v>
      </c>
      <c r="AU337" s="223">
        <v>67</v>
      </c>
      <c r="AV337" s="232">
        <v>0.76100000000000001</v>
      </c>
      <c r="AW337" s="223">
        <v>50</v>
      </c>
      <c r="AX337" s="223">
        <v>50</v>
      </c>
      <c r="AY337" s="235">
        <v>1</v>
      </c>
      <c r="AZ337" s="223">
        <v>46</v>
      </c>
      <c r="BA337" s="235">
        <v>0.92</v>
      </c>
      <c r="BB337" s="223">
        <v>46</v>
      </c>
      <c r="BC337" s="232">
        <v>0.92</v>
      </c>
    </row>
    <row r="338" spans="1:55" x14ac:dyDescent="0.25">
      <c r="A338" s="226">
        <v>1</v>
      </c>
      <c r="B338" s="211" t="s">
        <v>117</v>
      </c>
      <c r="C338" s="211">
        <v>991</v>
      </c>
      <c r="D338" s="211" t="s">
        <v>514</v>
      </c>
      <c r="E338" s="211">
        <v>423</v>
      </c>
      <c r="F338" s="211">
        <v>424</v>
      </c>
      <c r="G338" s="211"/>
      <c r="H338" s="220" t="str">
        <f>HYPERLINK("https://map.geo.admin.ch/?zoom=7&amp;E=618500&amp;N=231100&amp;layers=ch.kantone.cadastralwebmap-farbe,ch.swisstopo.amtliches-strassenverzeichnis,ch.bfs.gebaeude_wohnungs_register,KML||https://tinyurl.com/yy7ya4g9/BE/0991_bdg_erw.kml","KML building")</f>
        <v>KML building</v>
      </c>
      <c r="I338" s="154">
        <v>0</v>
      </c>
      <c r="J338" s="243" t="s">
        <v>1299</v>
      </c>
      <c r="K338" s="153">
        <v>0</v>
      </c>
      <c r="L338" s="64">
        <v>0</v>
      </c>
      <c r="M338" s="64"/>
      <c r="N338" s="200">
        <v>0</v>
      </c>
      <c r="O338" s="155"/>
      <c r="P338" s="63"/>
      <c r="Q338" s="64">
        <v>0</v>
      </c>
      <c r="R338" s="64"/>
      <c r="S338" s="200">
        <v>0</v>
      </c>
      <c r="T338" s="155"/>
      <c r="U338" s="63"/>
      <c r="V338" s="64">
        <v>0</v>
      </c>
      <c r="W338" s="64"/>
      <c r="X338" s="200">
        <v>0</v>
      </c>
      <c r="Y338" s="155"/>
      <c r="Z338" s="63"/>
      <c r="AA338" s="64">
        <v>0</v>
      </c>
      <c r="AB338" s="64"/>
      <c r="AC338" s="200">
        <v>0</v>
      </c>
      <c r="AD338" s="156"/>
      <c r="AE338" s="153"/>
      <c r="AF338" s="140">
        <v>44</v>
      </c>
      <c r="AG338" s="140"/>
      <c r="AH338" s="200">
        <v>0.104</v>
      </c>
      <c r="AI338" s="140"/>
      <c r="AJ338" s="153"/>
      <c r="AK338" s="140">
        <v>1</v>
      </c>
      <c r="AL338" s="140"/>
      <c r="AM338" s="200">
        <v>2.3999999999999998E-3</v>
      </c>
      <c r="AN338" s="156"/>
      <c r="AO338" s="230">
        <v>0.10639999999999999</v>
      </c>
      <c r="AP338" s="223">
        <v>174</v>
      </c>
      <c r="AQ338" s="223">
        <v>155</v>
      </c>
      <c r="AR338" s="235">
        <v>0.89100000000000001</v>
      </c>
      <c r="AS338" s="223">
        <v>103</v>
      </c>
      <c r="AT338" s="235">
        <v>0.59199999999999997</v>
      </c>
      <c r="AU338" s="223">
        <v>100</v>
      </c>
      <c r="AV338" s="232">
        <v>0.57499999999999996</v>
      </c>
      <c r="AW338" s="223">
        <v>86</v>
      </c>
      <c r="AX338" s="223">
        <v>85</v>
      </c>
      <c r="AY338" s="235">
        <v>0.98799999999999999</v>
      </c>
      <c r="AZ338" s="223">
        <v>73</v>
      </c>
      <c r="BA338" s="235">
        <v>0.84899999999999998</v>
      </c>
      <c r="BB338" s="223">
        <v>72</v>
      </c>
      <c r="BC338" s="232">
        <v>0.83699999999999997</v>
      </c>
    </row>
    <row r="339" spans="1:55" x14ac:dyDescent="0.25">
      <c r="A339" s="226">
        <v>1</v>
      </c>
      <c r="B339" s="211" t="s">
        <v>117</v>
      </c>
      <c r="C339" s="211">
        <v>992</v>
      </c>
      <c r="D339" s="211" t="s">
        <v>515</v>
      </c>
      <c r="E339" s="211">
        <v>1461</v>
      </c>
      <c r="F339" s="211">
        <v>1470</v>
      </c>
      <c r="G339" s="211"/>
      <c r="H339" s="220" t="str">
        <f>HYPERLINK("https://map.geo.admin.ch/?zoom=7&amp;E=&amp;N=&amp;layers=ch.kantone.cadastralwebmap-farbe,ch.swisstopo.amtliches-strassenverzeichnis,ch.bfs.gebaeude_wohnungs_register,KML||https://tinyurl.com/yy7ya4g9/BE/0992_bdg_erw.kml","KML building")</f>
        <v>KML building</v>
      </c>
      <c r="I339" s="154">
        <v>3</v>
      </c>
      <c r="J339" s="243" t="s">
        <v>1300</v>
      </c>
      <c r="K339" s="153">
        <v>2.0533880903490761E-3</v>
      </c>
      <c r="L339" s="64">
        <v>0</v>
      </c>
      <c r="M339" s="64"/>
      <c r="N339" s="200">
        <v>0</v>
      </c>
      <c r="O339" s="155"/>
      <c r="P339" s="63"/>
      <c r="Q339" s="64">
        <v>0</v>
      </c>
      <c r="R339" s="64"/>
      <c r="S339" s="200">
        <v>0</v>
      </c>
      <c r="T339" s="155"/>
      <c r="U339" s="63"/>
      <c r="V339" s="64">
        <v>0</v>
      </c>
      <c r="W339" s="64"/>
      <c r="X339" s="200">
        <v>0</v>
      </c>
      <c r="Y339" s="155"/>
      <c r="Z339" s="63"/>
      <c r="AA339" s="64">
        <v>0</v>
      </c>
      <c r="AB339" s="64"/>
      <c r="AC339" s="200">
        <v>0</v>
      </c>
      <c r="AD339" s="156"/>
      <c r="AE339" s="153"/>
      <c r="AF339" s="140">
        <v>6</v>
      </c>
      <c r="AG339" s="140"/>
      <c r="AH339" s="200">
        <v>4.1000000000000003E-3</v>
      </c>
      <c r="AI339" s="140"/>
      <c r="AJ339" s="153"/>
      <c r="AK339" s="140">
        <v>3</v>
      </c>
      <c r="AL339" s="140"/>
      <c r="AM339" s="200">
        <v>2.0999999999999999E-3</v>
      </c>
      <c r="AN339" s="156"/>
      <c r="AO339" s="230">
        <v>6.2000000000000006E-3</v>
      </c>
      <c r="AP339" s="223">
        <v>627</v>
      </c>
      <c r="AQ339" s="223">
        <v>507</v>
      </c>
      <c r="AR339" s="235">
        <v>0.80900000000000005</v>
      </c>
      <c r="AS339" s="223">
        <v>466</v>
      </c>
      <c r="AT339" s="235">
        <v>0.74299999999999999</v>
      </c>
      <c r="AU339" s="223">
        <v>439</v>
      </c>
      <c r="AV339" s="232">
        <v>0.7</v>
      </c>
      <c r="AW339" s="223">
        <v>329</v>
      </c>
      <c r="AX339" s="223">
        <v>298</v>
      </c>
      <c r="AY339" s="235">
        <v>0.90600000000000003</v>
      </c>
      <c r="AZ339" s="223">
        <v>282</v>
      </c>
      <c r="BA339" s="235">
        <v>0.85699999999999998</v>
      </c>
      <c r="BB339" s="223">
        <v>277</v>
      </c>
      <c r="BC339" s="232">
        <v>0.84199999999999997</v>
      </c>
    </row>
    <row r="340" spans="1:55" x14ac:dyDescent="0.25">
      <c r="A340" s="226">
        <v>1</v>
      </c>
      <c r="B340" s="211" t="s">
        <v>117</v>
      </c>
      <c r="C340" s="211">
        <v>995</v>
      </c>
      <c r="D340" s="211" t="s">
        <v>516</v>
      </c>
      <c r="E340" s="211">
        <v>1272</v>
      </c>
      <c r="F340" s="211">
        <v>1277</v>
      </c>
      <c r="G340" s="211"/>
      <c r="H340" s="220" t="str">
        <f>HYPERLINK("https://map.geo.admin.ch/?zoom=7&amp;E=615800&amp;N=233500&amp;layers=ch.kantone.cadastralwebmap-farbe,ch.swisstopo.amtliches-strassenverzeichnis,ch.bfs.gebaeude_wohnungs_register,KML||https://tinyurl.com/yy7ya4g9/BE/0995_bdg_erw.kml","KML building")</f>
        <v>KML building</v>
      </c>
      <c r="I340" s="154">
        <v>0</v>
      </c>
      <c r="J340" s="243" t="s">
        <v>1301</v>
      </c>
      <c r="K340" s="153">
        <v>0</v>
      </c>
      <c r="L340" s="64">
        <v>0</v>
      </c>
      <c r="M340" s="64"/>
      <c r="N340" s="200">
        <v>0</v>
      </c>
      <c r="O340" s="155"/>
      <c r="P340" s="63"/>
      <c r="Q340" s="64">
        <v>0</v>
      </c>
      <c r="R340" s="64"/>
      <c r="S340" s="200">
        <v>0</v>
      </c>
      <c r="T340" s="155"/>
      <c r="U340" s="63"/>
      <c r="V340" s="64">
        <v>0</v>
      </c>
      <c r="W340" s="64"/>
      <c r="X340" s="200">
        <v>0</v>
      </c>
      <c r="Y340" s="155"/>
      <c r="Z340" s="63"/>
      <c r="AA340" s="64">
        <v>0</v>
      </c>
      <c r="AB340" s="64"/>
      <c r="AC340" s="200">
        <v>0</v>
      </c>
      <c r="AD340" s="156"/>
      <c r="AE340" s="153"/>
      <c r="AF340" s="140">
        <v>0</v>
      </c>
      <c r="AG340" s="140"/>
      <c r="AH340" s="200">
        <v>0</v>
      </c>
      <c r="AI340" s="140"/>
      <c r="AJ340" s="153"/>
      <c r="AK340" s="140">
        <v>0</v>
      </c>
      <c r="AL340" s="140"/>
      <c r="AM340" s="200">
        <v>0</v>
      </c>
      <c r="AN340" s="156"/>
      <c r="AO340" s="230">
        <v>0</v>
      </c>
      <c r="AP340" s="223">
        <v>530</v>
      </c>
      <c r="AQ340" s="223">
        <v>439</v>
      </c>
      <c r="AR340" s="235">
        <v>0.82799999999999996</v>
      </c>
      <c r="AS340" s="223">
        <v>390</v>
      </c>
      <c r="AT340" s="235">
        <v>0.73599999999999999</v>
      </c>
      <c r="AU340" s="223">
        <v>374</v>
      </c>
      <c r="AV340" s="232">
        <v>0.70599999999999996</v>
      </c>
      <c r="AW340" s="223">
        <v>273</v>
      </c>
      <c r="AX340" s="223">
        <v>247</v>
      </c>
      <c r="AY340" s="235">
        <v>0.90500000000000003</v>
      </c>
      <c r="AZ340" s="223">
        <v>225</v>
      </c>
      <c r="BA340" s="235">
        <v>0.82399999999999995</v>
      </c>
      <c r="BB340" s="223">
        <v>224</v>
      </c>
      <c r="BC340" s="232">
        <v>0.82099999999999995</v>
      </c>
    </row>
    <row r="341" spans="1:55" x14ac:dyDescent="0.25">
      <c r="AO341" s="231"/>
      <c r="AR341" s="235"/>
      <c r="AT341" s="235"/>
      <c r="AV341" s="232"/>
      <c r="AY341" s="235"/>
      <c r="BA341" s="235"/>
      <c r="BC341" s="232"/>
    </row>
    <row r="342" spans="1:55" x14ac:dyDescent="0.25">
      <c r="AO342" s="231"/>
      <c r="AR342" s="235"/>
      <c r="AT342" s="235"/>
      <c r="AV342" s="232"/>
      <c r="AY342" s="235"/>
      <c r="BA342" s="235"/>
      <c r="BC342" s="232"/>
    </row>
    <row r="343" spans="1:55" x14ac:dyDescent="0.25">
      <c r="AO343" s="231"/>
      <c r="AR343" s="235"/>
      <c r="AT343" s="235"/>
      <c r="AV343" s="232"/>
      <c r="AY343" s="235"/>
      <c r="BA343" s="235"/>
      <c r="BC343" s="232"/>
    </row>
    <row r="344" spans="1:55" x14ac:dyDescent="0.25">
      <c r="AO344" s="231"/>
      <c r="AR344" s="235"/>
      <c r="AT344" s="235"/>
      <c r="AV344" s="232"/>
      <c r="AY344" s="235"/>
      <c r="BA344" s="235"/>
      <c r="BC344" s="232"/>
    </row>
    <row r="345" spans="1:55" x14ac:dyDescent="0.25">
      <c r="AO345" s="231"/>
      <c r="AR345" s="235"/>
      <c r="AT345" s="235"/>
      <c r="AV345" s="232"/>
      <c r="AY345" s="235"/>
      <c r="BA345" s="235"/>
      <c r="BC345" s="232"/>
    </row>
    <row r="346" spans="1:55" x14ac:dyDescent="0.25">
      <c r="AO346" s="231"/>
      <c r="AR346" s="235"/>
      <c r="AT346" s="235"/>
      <c r="AV346" s="232"/>
      <c r="AY346" s="235"/>
      <c r="BA346" s="235"/>
      <c r="BC346" s="232"/>
    </row>
    <row r="347" spans="1:55" x14ac:dyDescent="0.25">
      <c r="AO347" s="231"/>
      <c r="AR347" s="235"/>
      <c r="AT347" s="235"/>
      <c r="AV347" s="232"/>
      <c r="AY347" s="235"/>
      <c r="BA347" s="235"/>
      <c r="BC347" s="232"/>
    </row>
    <row r="348" spans="1:55" x14ac:dyDescent="0.25">
      <c r="AO348" s="231"/>
      <c r="AR348" s="235"/>
      <c r="AT348" s="235"/>
      <c r="AV348" s="232"/>
      <c r="AY348" s="235"/>
      <c r="BA348" s="235"/>
      <c r="BC348" s="232"/>
    </row>
    <row r="349" spans="1:55" x14ac:dyDescent="0.25">
      <c r="AO349" s="231"/>
      <c r="AR349" s="235"/>
      <c r="AT349" s="235"/>
      <c r="AV349" s="232"/>
      <c r="AY349" s="235"/>
      <c r="BA349" s="235"/>
      <c r="BC349" s="232"/>
    </row>
    <row r="350" spans="1:55" x14ac:dyDescent="0.25">
      <c r="AO350" s="231"/>
      <c r="AR350" s="235"/>
      <c r="AT350" s="235"/>
      <c r="AV350" s="232"/>
      <c r="AY350" s="235"/>
      <c r="BA350" s="235"/>
      <c r="BC350" s="232"/>
    </row>
    <row r="351" spans="1:55" x14ac:dyDescent="0.25">
      <c r="AO351" s="231"/>
      <c r="AR351" s="235"/>
      <c r="AT351" s="235"/>
      <c r="AV351" s="232"/>
      <c r="AY351" s="235"/>
      <c r="BA351" s="235"/>
      <c r="BC351" s="232"/>
    </row>
    <row r="352" spans="1:55" x14ac:dyDescent="0.25">
      <c r="AO352" s="231"/>
      <c r="AR352" s="235"/>
      <c r="AT352" s="235"/>
      <c r="AV352" s="232"/>
      <c r="AY352" s="235"/>
      <c r="BA352" s="235"/>
      <c r="BC352" s="232"/>
    </row>
    <row r="353" spans="41:55" x14ac:dyDescent="0.25">
      <c r="AO353" s="231"/>
      <c r="AR353" s="235"/>
      <c r="AT353" s="235"/>
      <c r="AV353" s="232"/>
      <c r="AY353" s="235"/>
      <c r="BA353" s="235"/>
      <c r="BC353" s="232"/>
    </row>
    <row r="354" spans="41:55" x14ac:dyDescent="0.25">
      <c r="AO354" s="231"/>
      <c r="AR354" s="235"/>
      <c r="AT354" s="235"/>
      <c r="AV354" s="232"/>
      <c r="AY354" s="235"/>
      <c r="BA354" s="235"/>
      <c r="BC354" s="232"/>
    </row>
    <row r="355" spans="41:55" x14ac:dyDescent="0.25">
      <c r="AO355" s="231"/>
      <c r="AR355" s="235"/>
      <c r="AT355" s="235"/>
      <c r="AV355" s="232"/>
      <c r="AY355" s="235"/>
      <c r="BA355" s="235"/>
      <c r="BC355" s="232"/>
    </row>
    <row r="356" spans="41:55" x14ac:dyDescent="0.25">
      <c r="AO356" s="231"/>
      <c r="AR356" s="235"/>
      <c r="AT356" s="235"/>
      <c r="AV356" s="232"/>
      <c r="AY356" s="235"/>
      <c r="BA356" s="235"/>
      <c r="BC356" s="232"/>
    </row>
    <row r="357" spans="41:55" x14ac:dyDescent="0.25">
      <c r="AO357" s="231"/>
      <c r="AR357" s="235"/>
      <c r="AT357" s="235"/>
      <c r="AV357" s="232"/>
      <c r="AY357" s="235"/>
      <c r="BA357" s="235"/>
      <c r="BC357" s="232"/>
    </row>
    <row r="358" spans="41:55" x14ac:dyDescent="0.25">
      <c r="AO358" s="231"/>
      <c r="AR358" s="235"/>
      <c r="AT358" s="235"/>
      <c r="AV358" s="232"/>
      <c r="AY358" s="235"/>
      <c r="BA358" s="235"/>
      <c r="BC358" s="232"/>
    </row>
    <row r="359" spans="41:55" x14ac:dyDescent="0.25">
      <c r="AO359" s="231"/>
      <c r="AR359" s="235"/>
      <c r="AT359" s="235"/>
      <c r="AV359" s="232"/>
      <c r="AY359" s="235"/>
      <c r="BA359" s="235"/>
      <c r="BC359" s="232"/>
    </row>
    <row r="360" spans="41:55" x14ac:dyDescent="0.25">
      <c r="AO360" s="231"/>
      <c r="AR360" s="235"/>
      <c r="AT360" s="235"/>
      <c r="AV360" s="232"/>
      <c r="AY360" s="235"/>
      <c r="BA360" s="235"/>
      <c r="BC360" s="232"/>
    </row>
    <row r="361" spans="41:55" x14ac:dyDescent="0.25">
      <c r="AO361" s="231"/>
      <c r="AR361" s="235"/>
      <c r="AT361" s="235"/>
      <c r="AV361" s="232"/>
      <c r="AY361" s="235"/>
      <c r="BA361" s="235"/>
      <c r="BC361" s="232"/>
    </row>
    <row r="362" spans="41:55" x14ac:dyDescent="0.25">
      <c r="AO362" s="231"/>
      <c r="AR362" s="235"/>
      <c r="AT362" s="235"/>
      <c r="AV362" s="232"/>
      <c r="AY362" s="235"/>
      <c r="BA362" s="235"/>
      <c r="BC362" s="232"/>
    </row>
    <row r="363" spans="41:55" x14ac:dyDescent="0.25">
      <c r="AO363" s="231"/>
      <c r="AR363" s="235"/>
      <c r="AT363" s="235"/>
      <c r="AV363" s="232"/>
      <c r="AY363" s="235"/>
      <c r="BA363" s="235"/>
      <c r="BC363" s="232"/>
    </row>
    <row r="364" spans="41:55" x14ac:dyDescent="0.25">
      <c r="AO364" s="231"/>
      <c r="AR364" s="235"/>
      <c r="AT364" s="235"/>
      <c r="AV364" s="232"/>
      <c r="AY364" s="235"/>
      <c r="BA364" s="235"/>
      <c r="BC364" s="232"/>
    </row>
    <row r="365" spans="41:55" x14ac:dyDescent="0.25">
      <c r="AO365" s="231"/>
      <c r="AR365" s="235"/>
      <c r="AT365" s="235"/>
      <c r="AV365" s="232"/>
      <c r="AY365" s="235"/>
      <c r="BA365" s="235"/>
      <c r="BC365" s="232"/>
    </row>
    <row r="366" spans="41:55" x14ac:dyDescent="0.25">
      <c r="AO366" s="231"/>
      <c r="AR366" s="235"/>
      <c r="AT366" s="235"/>
      <c r="AV366" s="232"/>
      <c r="AY366" s="235"/>
      <c r="BA366" s="235"/>
      <c r="BC366" s="232"/>
    </row>
    <row r="367" spans="41:55" x14ac:dyDescent="0.25">
      <c r="AO367" s="231"/>
      <c r="AR367" s="235"/>
      <c r="AT367" s="235"/>
      <c r="AV367" s="232"/>
      <c r="AY367" s="235"/>
      <c r="BA367" s="235"/>
      <c r="BC367" s="232"/>
    </row>
    <row r="368" spans="41:55" x14ac:dyDescent="0.25">
      <c r="AO368" s="231"/>
      <c r="AR368" s="235"/>
      <c r="AT368" s="235"/>
      <c r="AV368" s="232"/>
      <c r="AY368" s="235"/>
      <c r="BA368" s="235"/>
      <c r="BC368" s="232"/>
    </row>
    <row r="369" spans="41:55" x14ac:dyDescent="0.25">
      <c r="AO369" s="231"/>
      <c r="AR369" s="235"/>
      <c r="AT369" s="235"/>
      <c r="AV369" s="232"/>
      <c r="AY369" s="235"/>
      <c r="BA369" s="235"/>
      <c r="BC369" s="232"/>
    </row>
    <row r="370" spans="41:55" x14ac:dyDescent="0.25">
      <c r="AO370" s="231"/>
      <c r="AR370" s="235"/>
      <c r="AT370" s="235"/>
      <c r="AV370" s="232"/>
      <c r="AY370" s="235"/>
      <c r="BA370" s="235"/>
      <c r="BC370" s="232"/>
    </row>
    <row r="371" spans="41:55" x14ac:dyDescent="0.25">
      <c r="AO371" s="231"/>
      <c r="AR371" s="235"/>
      <c r="AT371" s="235"/>
      <c r="AV371" s="232"/>
      <c r="AY371" s="235"/>
      <c r="BA371" s="235"/>
      <c r="BC371" s="232"/>
    </row>
    <row r="372" spans="41:55" x14ac:dyDescent="0.25">
      <c r="AO372" s="231"/>
      <c r="AR372" s="235"/>
      <c r="AT372" s="235"/>
      <c r="AV372" s="232"/>
      <c r="AY372" s="235"/>
      <c r="BA372" s="235"/>
      <c r="BC372" s="232"/>
    </row>
    <row r="373" spans="41:55" x14ac:dyDescent="0.25">
      <c r="AO373" s="231"/>
      <c r="AR373" s="235"/>
      <c r="AT373" s="235"/>
      <c r="AV373" s="232"/>
      <c r="AY373" s="235"/>
      <c r="BA373" s="235"/>
      <c r="BC373" s="232"/>
    </row>
    <row r="374" spans="41:55" x14ac:dyDescent="0.25">
      <c r="AO374" s="231"/>
      <c r="AR374" s="235"/>
      <c r="AT374" s="235"/>
      <c r="AV374" s="232"/>
      <c r="AY374" s="235"/>
      <c r="BA374" s="235"/>
      <c r="BC374" s="232"/>
    </row>
    <row r="375" spans="41:55" x14ac:dyDescent="0.25">
      <c r="AO375" s="231"/>
      <c r="AR375" s="235"/>
      <c r="AT375" s="235"/>
      <c r="AV375" s="232"/>
      <c r="AY375" s="235"/>
      <c r="BA375" s="235"/>
      <c r="BC375" s="232"/>
    </row>
    <row r="376" spans="41:55" x14ac:dyDescent="0.25">
      <c r="AO376" s="231"/>
      <c r="AR376" s="235"/>
      <c r="AT376" s="235"/>
      <c r="AV376" s="232"/>
      <c r="AY376" s="235"/>
      <c r="BA376" s="235"/>
      <c r="BC376" s="232"/>
    </row>
    <row r="377" spans="41:55" x14ac:dyDescent="0.25">
      <c r="AO377" s="231"/>
      <c r="AR377" s="235"/>
      <c r="AT377" s="235"/>
      <c r="AV377" s="232"/>
      <c r="AY377" s="235"/>
      <c r="BA377" s="235"/>
      <c r="BC377" s="232"/>
    </row>
    <row r="378" spans="41:55" x14ac:dyDescent="0.25">
      <c r="AO378" s="231"/>
      <c r="AR378" s="235"/>
      <c r="AT378" s="235"/>
      <c r="AV378" s="232"/>
      <c r="AY378" s="235"/>
      <c r="BA378" s="235"/>
      <c r="BC378" s="232"/>
    </row>
    <row r="379" spans="41:55" x14ac:dyDescent="0.25">
      <c r="AO379" s="231"/>
      <c r="AR379" s="235"/>
      <c r="AT379" s="235"/>
      <c r="AV379" s="232"/>
      <c r="AY379" s="235"/>
      <c r="BA379" s="235"/>
      <c r="BC379" s="232"/>
    </row>
    <row r="380" spans="41:55" x14ac:dyDescent="0.25">
      <c r="AO380" s="231"/>
      <c r="AR380" s="235"/>
      <c r="AT380" s="235"/>
      <c r="AV380" s="232"/>
      <c r="AY380" s="235"/>
      <c r="BA380" s="235"/>
      <c r="BC380" s="232"/>
    </row>
    <row r="381" spans="41:55" x14ac:dyDescent="0.25">
      <c r="AO381" s="231"/>
      <c r="AR381" s="235"/>
      <c r="AT381" s="235"/>
      <c r="AV381" s="232"/>
      <c r="AY381" s="235"/>
      <c r="BA381" s="235"/>
      <c r="BC381" s="232"/>
    </row>
    <row r="382" spans="41:55" x14ac:dyDescent="0.25">
      <c r="AO382" s="231"/>
      <c r="AR382" s="235"/>
      <c r="AT382" s="235"/>
      <c r="AV382" s="232"/>
      <c r="AY382" s="235"/>
      <c r="BA382" s="235"/>
      <c r="BC382" s="232"/>
    </row>
    <row r="383" spans="41:55" x14ac:dyDescent="0.25">
      <c r="AO383" s="231"/>
      <c r="AR383" s="235"/>
      <c r="AT383" s="235"/>
      <c r="AV383" s="232"/>
      <c r="AY383" s="235"/>
      <c r="BA383" s="235"/>
      <c r="BC383" s="232"/>
    </row>
    <row r="384" spans="41:55" x14ac:dyDescent="0.25">
      <c r="AO384" s="231"/>
      <c r="AR384" s="235"/>
      <c r="AT384" s="235"/>
      <c r="AV384" s="232"/>
      <c r="AY384" s="235"/>
      <c r="BA384" s="235"/>
      <c r="BC384" s="232"/>
    </row>
    <row r="385" spans="41:55" x14ac:dyDescent="0.25">
      <c r="AO385" s="231"/>
      <c r="AR385" s="235"/>
      <c r="AT385" s="235"/>
      <c r="AV385" s="232"/>
      <c r="AY385" s="235"/>
      <c r="BA385" s="235"/>
      <c r="BC385" s="232"/>
    </row>
    <row r="386" spans="41:55" x14ac:dyDescent="0.25">
      <c r="AO386" s="231"/>
      <c r="AR386" s="235"/>
      <c r="AT386" s="235"/>
      <c r="AV386" s="232"/>
      <c r="AY386" s="235"/>
      <c r="BA386" s="235"/>
      <c r="BC386" s="232"/>
    </row>
    <row r="387" spans="41:55" x14ac:dyDescent="0.25">
      <c r="AO387" s="231"/>
      <c r="AR387" s="235"/>
      <c r="AT387" s="235"/>
      <c r="AV387" s="232"/>
      <c r="AY387" s="235"/>
      <c r="BA387" s="235"/>
      <c r="BC387" s="232"/>
    </row>
    <row r="388" spans="41:55" x14ac:dyDescent="0.25">
      <c r="AO388" s="231"/>
      <c r="AR388" s="235"/>
      <c r="AT388" s="235"/>
      <c r="AV388" s="232"/>
      <c r="AY388" s="235"/>
      <c r="BA388" s="235"/>
      <c r="BC388" s="232"/>
    </row>
    <row r="389" spans="41:55" x14ac:dyDescent="0.25">
      <c r="AO389" s="231"/>
      <c r="AR389" s="235"/>
      <c r="AT389" s="235"/>
      <c r="AV389" s="232"/>
      <c r="AY389" s="235"/>
      <c r="BA389" s="235"/>
      <c r="BC389" s="232"/>
    </row>
    <row r="390" spans="41:55" x14ac:dyDescent="0.25">
      <c r="AO390" s="231"/>
      <c r="AR390" s="235"/>
      <c r="AT390" s="235"/>
      <c r="AV390" s="232"/>
      <c r="AY390" s="235"/>
      <c r="BA390" s="235"/>
      <c r="BC390" s="232"/>
    </row>
    <row r="391" spans="41:55" x14ac:dyDescent="0.25">
      <c r="AO391" s="231"/>
      <c r="AR391" s="235"/>
      <c r="AT391" s="235"/>
      <c r="AV391" s="232"/>
      <c r="AY391" s="235"/>
      <c r="BA391" s="235"/>
      <c r="BC391" s="232"/>
    </row>
    <row r="392" spans="41:55" x14ac:dyDescent="0.25">
      <c r="AO392" s="231"/>
      <c r="AR392" s="235"/>
      <c r="AT392" s="235"/>
      <c r="AV392" s="232"/>
      <c r="AY392" s="235"/>
      <c r="BA392" s="235"/>
      <c r="BC392" s="232"/>
    </row>
    <row r="393" spans="41:55" x14ac:dyDescent="0.25">
      <c r="AO393" s="231"/>
      <c r="AR393" s="235"/>
      <c r="AT393" s="235"/>
      <c r="AV393" s="232"/>
      <c r="AY393" s="235"/>
      <c r="BA393" s="235"/>
      <c r="BC393" s="232"/>
    </row>
    <row r="394" spans="41:55" x14ac:dyDescent="0.25">
      <c r="AO394" s="231"/>
      <c r="AR394" s="235"/>
      <c r="AT394" s="235"/>
      <c r="AV394" s="232"/>
      <c r="AY394" s="235"/>
      <c r="BA394" s="235"/>
      <c r="BC394" s="232"/>
    </row>
    <row r="395" spans="41:55" x14ac:dyDescent="0.25">
      <c r="AO395" s="231"/>
      <c r="AR395" s="235"/>
      <c r="AT395" s="235"/>
      <c r="AV395" s="232"/>
      <c r="AY395" s="235"/>
      <c r="BA395" s="235"/>
      <c r="BC395" s="232"/>
    </row>
    <row r="396" spans="41:55" x14ac:dyDescent="0.25">
      <c r="AO396" s="231"/>
      <c r="AR396" s="235"/>
      <c r="AT396" s="235"/>
      <c r="AV396" s="232"/>
      <c r="AY396" s="235"/>
      <c r="BA396" s="235"/>
      <c r="BC396" s="232"/>
    </row>
    <row r="397" spans="41:55" x14ac:dyDescent="0.25">
      <c r="AO397" s="231"/>
      <c r="AR397" s="235"/>
      <c r="AT397" s="235"/>
      <c r="AV397" s="232"/>
      <c r="AY397" s="235"/>
      <c r="BA397" s="235"/>
      <c r="BC397" s="232"/>
    </row>
    <row r="398" spans="41:55" x14ac:dyDescent="0.25">
      <c r="AO398" s="231"/>
      <c r="AR398" s="235"/>
      <c r="AT398" s="235"/>
      <c r="AV398" s="232"/>
      <c r="AY398" s="235"/>
      <c r="BA398" s="235"/>
      <c r="BC398" s="232"/>
    </row>
    <row r="399" spans="41:55" x14ac:dyDescent="0.25">
      <c r="AO399" s="231"/>
      <c r="AR399" s="235"/>
      <c r="AT399" s="235"/>
      <c r="AV399" s="232"/>
      <c r="AY399" s="235"/>
      <c r="BA399" s="235"/>
      <c r="BC399" s="232"/>
    </row>
    <row r="400" spans="41:55" x14ac:dyDescent="0.25">
      <c r="AO400" s="231"/>
      <c r="AR400" s="235"/>
      <c r="AT400" s="235"/>
      <c r="AV400" s="232"/>
      <c r="AY400" s="235"/>
      <c r="BA400" s="235"/>
      <c r="BC400" s="232"/>
    </row>
    <row r="401" spans="41:55" x14ac:dyDescent="0.25">
      <c r="AO401" s="231"/>
      <c r="AR401" s="235"/>
      <c r="AT401" s="235"/>
      <c r="AV401" s="232"/>
      <c r="AY401" s="235"/>
      <c r="BA401" s="235"/>
      <c r="BC401" s="232"/>
    </row>
    <row r="402" spans="41:55" x14ac:dyDescent="0.25">
      <c r="AO402" s="231"/>
      <c r="AR402" s="235"/>
      <c r="AT402" s="235"/>
      <c r="AV402" s="232"/>
      <c r="AY402" s="235"/>
      <c r="BA402" s="235"/>
      <c r="BC402" s="232"/>
    </row>
    <row r="403" spans="41:55" x14ac:dyDescent="0.25">
      <c r="AO403" s="231"/>
      <c r="AR403" s="235"/>
      <c r="AT403" s="235"/>
      <c r="AV403" s="232"/>
      <c r="AY403" s="235"/>
      <c r="BA403" s="235"/>
      <c r="BC403" s="232"/>
    </row>
    <row r="404" spans="41:55" x14ac:dyDescent="0.25">
      <c r="AO404" s="231"/>
      <c r="AR404" s="235"/>
      <c r="AT404" s="235"/>
      <c r="AV404" s="232"/>
      <c r="AY404" s="235"/>
      <c r="BA404" s="235"/>
      <c r="BC404" s="232"/>
    </row>
    <row r="405" spans="41:55" x14ac:dyDescent="0.25">
      <c r="AO405" s="231"/>
      <c r="AR405" s="235"/>
      <c r="AT405" s="235"/>
      <c r="AV405" s="232"/>
      <c r="AY405" s="235"/>
      <c r="BA405" s="235"/>
      <c r="BC405" s="232"/>
    </row>
    <row r="406" spans="41:55" x14ac:dyDescent="0.25">
      <c r="AO406" s="231"/>
      <c r="AR406" s="235"/>
      <c r="AT406" s="235"/>
      <c r="AV406" s="232"/>
      <c r="AY406" s="235"/>
      <c r="BA406" s="235"/>
      <c r="BC406" s="232"/>
    </row>
    <row r="407" spans="41:55" x14ac:dyDescent="0.25">
      <c r="AO407" s="231"/>
      <c r="AR407" s="235"/>
      <c r="AT407" s="235"/>
      <c r="AV407" s="232"/>
      <c r="AY407" s="235"/>
      <c r="BA407" s="235"/>
      <c r="BC407" s="232"/>
    </row>
    <row r="408" spans="41:55" x14ac:dyDescent="0.25">
      <c r="AO408" s="231"/>
      <c r="AR408" s="235"/>
      <c r="AT408" s="235"/>
      <c r="AV408" s="232"/>
      <c r="AY408" s="235"/>
      <c r="BA408" s="235"/>
      <c r="BC408" s="232"/>
    </row>
    <row r="409" spans="41:55" x14ac:dyDescent="0.25">
      <c r="AO409" s="231"/>
      <c r="AR409" s="235"/>
      <c r="AT409" s="235"/>
      <c r="AV409" s="232"/>
      <c r="AY409" s="235"/>
      <c r="BA409" s="235"/>
      <c r="BC409" s="232"/>
    </row>
    <row r="410" spans="41:55" x14ac:dyDescent="0.25">
      <c r="AO410" s="231"/>
      <c r="AR410" s="235"/>
      <c r="AT410" s="235"/>
      <c r="AV410" s="232"/>
      <c r="AY410" s="235"/>
      <c r="BA410" s="235"/>
      <c r="BC410" s="232"/>
    </row>
    <row r="411" spans="41:55" x14ac:dyDescent="0.25">
      <c r="AO411" s="231"/>
      <c r="AR411" s="235"/>
      <c r="AT411" s="235"/>
      <c r="AV411" s="232"/>
      <c r="AY411" s="235"/>
      <c r="BA411" s="235"/>
      <c r="BC411" s="232"/>
    </row>
    <row r="412" spans="41:55" x14ac:dyDescent="0.25">
      <c r="AO412" s="231"/>
      <c r="AR412" s="235"/>
      <c r="AT412" s="235"/>
      <c r="AV412" s="232"/>
      <c r="AY412" s="235"/>
      <c r="BA412" s="235"/>
      <c r="BC412" s="232"/>
    </row>
    <row r="413" spans="41:55" x14ac:dyDescent="0.25">
      <c r="AO413" s="231"/>
      <c r="AR413" s="235"/>
      <c r="AT413" s="235"/>
      <c r="AV413" s="232"/>
      <c r="AY413" s="235"/>
      <c r="BA413" s="235"/>
      <c r="BC413" s="232"/>
    </row>
    <row r="414" spans="41:55" x14ac:dyDescent="0.25">
      <c r="AO414" s="231"/>
      <c r="AR414" s="235"/>
      <c r="AT414" s="235"/>
      <c r="AV414" s="232"/>
      <c r="AY414" s="235"/>
      <c r="BA414" s="235"/>
      <c r="BC414" s="232"/>
    </row>
    <row r="415" spans="41:55" x14ac:dyDescent="0.25">
      <c r="AO415" s="231"/>
      <c r="AR415" s="235"/>
      <c r="AT415" s="235"/>
      <c r="AV415" s="232"/>
      <c r="AY415" s="235"/>
      <c r="BA415" s="235"/>
      <c r="BC415" s="232"/>
    </row>
    <row r="416" spans="41:55" x14ac:dyDescent="0.25">
      <c r="AO416" s="231"/>
      <c r="AR416" s="235"/>
      <c r="AT416" s="235"/>
      <c r="AV416" s="232"/>
      <c r="AY416" s="235"/>
      <c r="BA416" s="235"/>
      <c r="BC416" s="232"/>
    </row>
    <row r="417" spans="41:55" x14ac:dyDescent="0.25">
      <c r="AO417" s="231"/>
      <c r="AR417" s="235"/>
      <c r="AT417" s="235"/>
      <c r="AV417" s="232"/>
      <c r="AY417" s="235"/>
      <c r="BA417" s="235"/>
      <c r="BC417" s="232"/>
    </row>
    <row r="418" spans="41:55" x14ac:dyDescent="0.25">
      <c r="AO418" s="231"/>
      <c r="AR418" s="235"/>
      <c r="AT418" s="235"/>
      <c r="AV418" s="232"/>
      <c r="AY418" s="235"/>
      <c r="BA418" s="235"/>
      <c r="BC418" s="232"/>
    </row>
    <row r="419" spans="41:55" x14ac:dyDescent="0.25">
      <c r="AO419" s="231"/>
      <c r="AR419" s="235"/>
      <c r="AT419" s="235"/>
      <c r="AV419" s="232"/>
      <c r="AY419" s="235"/>
      <c r="BA419" s="235"/>
      <c r="BC419" s="232"/>
    </row>
    <row r="420" spans="41:55" x14ac:dyDescent="0.25">
      <c r="AO420" s="231"/>
      <c r="AR420" s="235"/>
      <c r="AT420" s="235"/>
      <c r="AV420" s="232"/>
      <c r="AY420" s="235"/>
      <c r="BA420" s="235"/>
      <c r="BC420" s="232"/>
    </row>
    <row r="421" spans="41:55" x14ac:dyDescent="0.25">
      <c r="AO421" s="231"/>
      <c r="AR421" s="235"/>
      <c r="AT421" s="235"/>
      <c r="AV421" s="232"/>
      <c r="AY421" s="235"/>
      <c r="BA421" s="235"/>
      <c r="BC421" s="232"/>
    </row>
    <row r="422" spans="41:55" x14ac:dyDescent="0.25">
      <c r="AO422" s="231"/>
      <c r="AR422" s="235"/>
      <c r="AT422" s="235"/>
      <c r="AV422" s="232"/>
      <c r="AY422" s="235"/>
      <c r="BA422" s="235"/>
      <c r="BC422" s="232"/>
    </row>
    <row r="423" spans="41:55" x14ac:dyDescent="0.25">
      <c r="AO423" s="231"/>
      <c r="AR423" s="235"/>
      <c r="AT423" s="235"/>
      <c r="AV423" s="232"/>
      <c r="AY423" s="235"/>
      <c r="BA423" s="235"/>
      <c r="BC423" s="232"/>
    </row>
    <row r="424" spans="41:55" x14ac:dyDescent="0.25">
      <c r="AO424" s="231"/>
      <c r="AR424" s="235"/>
      <c r="AT424" s="235"/>
      <c r="AV424" s="232"/>
      <c r="AY424" s="235"/>
      <c r="BA424" s="235"/>
      <c r="BC424" s="232"/>
    </row>
    <row r="425" spans="41:55" x14ac:dyDescent="0.25">
      <c r="AO425" s="231"/>
      <c r="AR425" s="235"/>
      <c r="AT425" s="235"/>
      <c r="AV425" s="232"/>
      <c r="AY425" s="235"/>
      <c r="BA425" s="235"/>
      <c r="BC425" s="232"/>
    </row>
    <row r="426" spans="41:55" x14ac:dyDescent="0.25">
      <c r="AO426" s="231"/>
      <c r="AR426" s="235"/>
      <c r="AT426" s="235"/>
      <c r="AV426" s="232"/>
      <c r="AY426" s="235"/>
      <c r="BA426" s="235"/>
      <c r="BC426" s="232"/>
    </row>
    <row r="427" spans="41:55" x14ac:dyDescent="0.25">
      <c r="AO427" s="231"/>
      <c r="AR427" s="235"/>
      <c r="AT427" s="235"/>
      <c r="AV427" s="232"/>
      <c r="AY427" s="235"/>
      <c r="BA427" s="235"/>
      <c r="BC427" s="232"/>
    </row>
    <row r="428" spans="41:55" x14ac:dyDescent="0.25">
      <c r="AO428" s="231"/>
      <c r="AR428" s="235"/>
      <c r="AT428" s="235"/>
      <c r="AV428" s="232"/>
      <c r="AY428" s="235"/>
      <c r="BA428" s="235"/>
      <c r="BC428" s="232"/>
    </row>
    <row r="429" spans="41:55" x14ac:dyDescent="0.25">
      <c r="AO429" s="231"/>
      <c r="AR429" s="235"/>
      <c r="AT429" s="235"/>
      <c r="AV429" s="232"/>
      <c r="AY429" s="235"/>
      <c r="BA429" s="235"/>
      <c r="BC429" s="232"/>
    </row>
    <row r="430" spans="41:55" x14ac:dyDescent="0.25">
      <c r="AO430" s="231"/>
      <c r="AR430" s="235"/>
      <c r="AT430" s="235"/>
      <c r="AV430" s="232"/>
      <c r="AY430" s="235"/>
      <c r="BA430" s="235"/>
      <c r="BC430" s="232"/>
    </row>
    <row r="431" spans="41:55" x14ac:dyDescent="0.25">
      <c r="AO431" s="231"/>
      <c r="AR431" s="235"/>
      <c r="AT431" s="235"/>
      <c r="AV431" s="232"/>
      <c r="AY431" s="235"/>
      <c r="BA431" s="235"/>
      <c r="BC431" s="232"/>
    </row>
    <row r="432" spans="41:55" x14ac:dyDescent="0.25">
      <c r="AO432" s="231"/>
      <c r="AR432" s="235"/>
      <c r="AT432" s="235"/>
      <c r="AV432" s="232"/>
      <c r="AY432" s="235"/>
      <c r="BA432" s="235"/>
      <c r="BC432" s="232"/>
    </row>
    <row r="433" spans="41:55" x14ac:dyDescent="0.25">
      <c r="AO433" s="231"/>
      <c r="AR433" s="235"/>
      <c r="AT433" s="235"/>
      <c r="AV433" s="232"/>
      <c r="AY433" s="235"/>
      <c r="BA433" s="235"/>
      <c r="BC433" s="232"/>
    </row>
    <row r="434" spans="41:55" x14ac:dyDescent="0.25">
      <c r="AO434" s="231"/>
      <c r="AR434" s="235"/>
      <c r="AT434" s="235"/>
      <c r="AV434" s="232"/>
      <c r="AY434" s="235"/>
      <c r="BA434" s="235"/>
      <c r="BC434" s="232"/>
    </row>
    <row r="435" spans="41:55" x14ac:dyDescent="0.25">
      <c r="AO435" s="231"/>
      <c r="AR435" s="235"/>
      <c r="AT435" s="235"/>
      <c r="AV435" s="232"/>
      <c r="AY435" s="235"/>
      <c r="BA435" s="235"/>
      <c r="BC435" s="232"/>
    </row>
    <row r="436" spans="41:55" x14ac:dyDescent="0.25">
      <c r="AO436" s="231"/>
      <c r="AR436" s="235"/>
      <c r="AT436" s="235"/>
      <c r="AV436" s="232"/>
      <c r="AY436" s="235"/>
      <c r="BA436" s="235"/>
      <c r="BC436" s="232"/>
    </row>
    <row r="437" spans="41:55" x14ac:dyDescent="0.25">
      <c r="AO437" s="231"/>
      <c r="AR437" s="235"/>
      <c r="AT437" s="235"/>
      <c r="AV437" s="232"/>
      <c r="AY437" s="235"/>
      <c r="BA437" s="235"/>
      <c r="BC437" s="232"/>
    </row>
    <row r="438" spans="41:55" x14ac:dyDescent="0.25">
      <c r="AO438" s="231"/>
      <c r="AR438" s="235"/>
      <c r="AT438" s="235"/>
      <c r="AV438" s="232"/>
      <c r="AY438" s="235"/>
      <c r="BA438" s="235"/>
      <c r="BC438" s="232"/>
    </row>
    <row r="439" spans="41:55" x14ac:dyDescent="0.25">
      <c r="AO439" s="231"/>
      <c r="AR439" s="235"/>
      <c r="AT439" s="235"/>
      <c r="AV439" s="232"/>
      <c r="AY439" s="235"/>
      <c r="BA439" s="235"/>
      <c r="BC439" s="232"/>
    </row>
    <row r="440" spans="41:55" x14ac:dyDescent="0.25">
      <c r="AO440" s="231"/>
      <c r="AR440" s="235"/>
      <c r="AT440" s="235"/>
      <c r="AV440" s="232"/>
      <c r="AY440" s="235"/>
      <c r="BA440" s="235"/>
      <c r="BC440" s="232"/>
    </row>
    <row r="441" spans="41:55" x14ac:dyDescent="0.25">
      <c r="AO441" s="231"/>
      <c r="AR441" s="235"/>
      <c r="AT441" s="235"/>
      <c r="AV441" s="232"/>
      <c r="AY441" s="235"/>
      <c r="BA441" s="235"/>
      <c r="BC441" s="232"/>
    </row>
    <row r="442" spans="41:55" x14ac:dyDescent="0.25">
      <c r="AO442" s="231"/>
      <c r="AR442" s="235"/>
      <c r="AT442" s="235"/>
      <c r="AV442" s="232"/>
      <c r="AY442" s="235"/>
      <c r="BA442" s="235"/>
      <c r="BC442" s="232"/>
    </row>
    <row r="443" spans="41:55" x14ac:dyDescent="0.25">
      <c r="AO443" s="231"/>
      <c r="AR443" s="235"/>
      <c r="AT443" s="235"/>
      <c r="AV443" s="232"/>
      <c r="AY443" s="235"/>
      <c r="BA443" s="235"/>
      <c r="BC443" s="232"/>
    </row>
    <row r="444" spans="41:55" x14ac:dyDescent="0.25">
      <c r="AO444" s="231"/>
      <c r="AR444" s="235"/>
      <c r="AT444" s="235"/>
      <c r="AV444" s="232"/>
      <c r="AY444" s="235"/>
      <c r="BA444" s="235"/>
      <c r="BC444" s="232"/>
    </row>
    <row r="445" spans="41:55" x14ac:dyDescent="0.25">
      <c r="AO445" s="231"/>
      <c r="AR445" s="235"/>
      <c r="AT445" s="235"/>
      <c r="AV445" s="232"/>
      <c r="AY445" s="235"/>
      <c r="BA445" s="235"/>
      <c r="BC445" s="232"/>
    </row>
    <row r="446" spans="41:55" x14ac:dyDescent="0.25">
      <c r="AO446" s="231"/>
      <c r="AR446" s="235"/>
      <c r="AT446" s="235"/>
      <c r="AV446" s="232"/>
      <c r="AY446" s="235"/>
      <c r="BA446" s="235"/>
      <c r="BC446" s="232"/>
    </row>
    <row r="447" spans="41:55" x14ac:dyDescent="0.25">
      <c r="AO447" s="231"/>
      <c r="AR447" s="235"/>
      <c r="AT447" s="235"/>
      <c r="AV447" s="232"/>
      <c r="AY447" s="235"/>
      <c r="BA447" s="235"/>
      <c r="BC447" s="232"/>
    </row>
    <row r="448" spans="41:55" x14ac:dyDescent="0.25">
      <c r="AO448" s="231"/>
      <c r="AR448" s="235"/>
      <c r="AT448" s="235"/>
      <c r="AV448" s="232"/>
      <c r="AY448" s="235"/>
      <c r="BA448" s="235"/>
      <c r="BC448" s="232"/>
    </row>
    <row r="449" spans="41:55" x14ac:dyDescent="0.25">
      <c r="AO449" s="231"/>
      <c r="AR449" s="235"/>
      <c r="AT449" s="235"/>
      <c r="AV449" s="232"/>
      <c r="AY449" s="235"/>
      <c r="BA449" s="235"/>
      <c r="BC449" s="232"/>
    </row>
    <row r="450" spans="41:55" x14ac:dyDescent="0.25">
      <c r="AO450" s="231"/>
      <c r="AR450" s="235"/>
      <c r="AT450" s="235"/>
      <c r="AV450" s="232"/>
      <c r="AY450" s="235"/>
      <c r="BA450" s="235"/>
      <c r="BC450" s="232"/>
    </row>
    <row r="451" spans="41:55" x14ac:dyDescent="0.25">
      <c r="AO451" s="231"/>
      <c r="AR451" s="235"/>
      <c r="AT451" s="235"/>
      <c r="AV451" s="232"/>
      <c r="AY451" s="235"/>
      <c r="BA451" s="235"/>
      <c r="BC451" s="232"/>
    </row>
    <row r="452" spans="41:55" x14ac:dyDescent="0.25">
      <c r="AO452" s="231"/>
      <c r="AR452" s="235"/>
      <c r="AT452" s="235"/>
      <c r="AV452" s="232"/>
      <c r="AY452" s="235"/>
      <c r="BA452" s="235"/>
      <c r="BC452" s="232"/>
    </row>
    <row r="453" spans="41:55" x14ac:dyDescent="0.25">
      <c r="AO453" s="231"/>
      <c r="AR453" s="235"/>
      <c r="AT453" s="235"/>
      <c r="AV453" s="232"/>
      <c r="AY453" s="235"/>
      <c r="BA453" s="235"/>
      <c r="BC453" s="232"/>
    </row>
    <row r="454" spans="41:55" x14ac:dyDescent="0.25">
      <c r="AO454" s="231"/>
      <c r="AR454" s="235"/>
      <c r="AT454" s="235"/>
      <c r="AV454" s="232"/>
      <c r="AY454" s="235"/>
      <c r="BA454" s="235"/>
      <c r="BC454" s="232"/>
    </row>
    <row r="455" spans="41:55" x14ac:dyDescent="0.25">
      <c r="AO455" s="231"/>
      <c r="AR455" s="235"/>
      <c r="AT455" s="235"/>
      <c r="AV455" s="232"/>
      <c r="AY455" s="235"/>
      <c r="BA455" s="235"/>
      <c r="BC455" s="232"/>
    </row>
    <row r="456" spans="41:55" x14ac:dyDescent="0.25">
      <c r="AO456" s="231"/>
      <c r="AR456" s="235"/>
      <c r="AT456" s="235"/>
      <c r="AV456" s="232"/>
      <c r="AY456" s="235"/>
      <c r="BA456" s="235"/>
      <c r="BC456" s="232"/>
    </row>
    <row r="457" spans="41:55" x14ac:dyDescent="0.25">
      <c r="AO457" s="231"/>
      <c r="AR457" s="235"/>
      <c r="AT457" s="235"/>
      <c r="AV457" s="232"/>
      <c r="AY457" s="235"/>
      <c r="BA457" s="235"/>
      <c r="BC457" s="232"/>
    </row>
    <row r="458" spans="41:55" x14ac:dyDescent="0.25">
      <c r="AO458" s="231"/>
      <c r="AR458" s="235"/>
      <c r="AT458" s="235"/>
      <c r="AV458" s="232"/>
      <c r="AY458" s="235"/>
      <c r="BA458" s="235"/>
      <c r="BC458" s="232"/>
    </row>
    <row r="459" spans="41:55" x14ac:dyDescent="0.25">
      <c r="AO459" s="231"/>
      <c r="AR459" s="235"/>
      <c r="AT459" s="235"/>
      <c r="AV459" s="232"/>
      <c r="AY459" s="235"/>
      <c r="BA459" s="235"/>
      <c r="BC459" s="232"/>
    </row>
    <row r="460" spans="41:55" x14ac:dyDescent="0.25">
      <c r="AO460" s="231"/>
      <c r="AR460" s="235"/>
      <c r="AT460" s="235"/>
      <c r="AV460" s="232"/>
      <c r="AY460" s="235"/>
      <c r="BA460" s="235"/>
      <c r="BC460" s="232"/>
    </row>
    <row r="461" spans="41:55" x14ac:dyDescent="0.25">
      <c r="AO461" s="231"/>
      <c r="AR461" s="235"/>
      <c r="AT461" s="235"/>
      <c r="AV461" s="232"/>
      <c r="AY461" s="235"/>
      <c r="BA461" s="235"/>
      <c r="BC461" s="232"/>
    </row>
    <row r="462" spans="41:55" x14ac:dyDescent="0.25">
      <c r="AO462" s="231"/>
      <c r="AR462" s="235"/>
      <c r="AT462" s="235"/>
      <c r="AV462" s="232"/>
      <c r="AY462" s="235"/>
      <c r="BA462" s="235"/>
      <c r="BC462" s="232"/>
    </row>
    <row r="463" spans="41:55" x14ac:dyDescent="0.25">
      <c r="AO463" s="231"/>
      <c r="AR463" s="235"/>
      <c r="AT463" s="235"/>
      <c r="AV463" s="232"/>
      <c r="AY463" s="235"/>
      <c r="BA463" s="235"/>
      <c r="BC463" s="232"/>
    </row>
    <row r="464" spans="41:55" x14ac:dyDescent="0.25">
      <c r="AO464" s="231"/>
      <c r="AR464" s="235"/>
      <c r="AT464" s="235"/>
      <c r="AV464" s="232"/>
      <c r="AY464" s="235"/>
      <c r="BA464" s="235"/>
      <c r="BC464" s="232"/>
    </row>
    <row r="465" spans="41:55" x14ac:dyDescent="0.25">
      <c r="AO465" s="231"/>
      <c r="AR465" s="235"/>
      <c r="AT465" s="235"/>
      <c r="AV465" s="232"/>
      <c r="AY465" s="235"/>
      <c r="BA465" s="235"/>
      <c r="BC465" s="232"/>
    </row>
    <row r="466" spans="41:55" x14ac:dyDescent="0.25">
      <c r="AO466" s="231"/>
      <c r="AR466" s="235"/>
      <c r="AT466" s="235"/>
      <c r="AV466" s="232"/>
      <c r="AY466" s="235"/>
      <c r="BA466" s="235"/>
      <c r="BC466" s="232"/>
    </row>
    <row r="467" spans="41:55" x14ac:dyDescent="0.25">
      <c r="AO467" s="231"/>
      <c r="AR467" s="235"/>
      <c r="AT467" s="235"/>
      <c r="AV467" s="232"/>
      <c r="AY467" s="235"/>
      <c r="BA467" s="235"/>
      <c r="BC467" s="232"/>
    </row>
    <row r="468" spans="41:55" x14ac:dyDescent="0.25">
      <c r="AO468" s="231"/>
      <c r="AR468" s="235"/>
      <c r="AT468" s="235"/>
      <c r="AV468" s="232"/>
      <c r="AY468" s="235"/>
      <c r="BA468" s="235"/>
      <c r="BC468" s="232"/>
    </row>
    <row r="469" spans="41:55" x14ac:dyDescent="0.25">
      <c r="AO469" s="231"/>
      <c r="AR469" s="235"/>
      <c r="AT469" s="235"/>
      <c r="AV469" s="232"/>
      <c r="AY469" s="235"/>
      <c r="BA469" s="235"/>
      <c r="BC469" s="232"/>
    </row>
    <row r="470" spans="41:55" x14ac:dyDescent="0.25">
      <c r="AO470" s="231"/>
      <c r="AR470" s="235"/>
      <c r="AT470" s="235"/>
      <c r="AV470" s="232"/>
      <c r="AY470" s="235"/>
      <c r="BA470" s="235"/>
      <c r="BC470" s="232"/>
    </row>
    <row r="471" spans="41:55" x14ac:dyDescent="0.25">
      <c r="AO471" s="231"/>
      <c r="AR471" s="235"/>
      <c r="AT471" s="235"/>
      <c r="AV471" s="232"/>
      <c r="AY471" s="235"/>
      <c r="BA471" s="235"/>
      <c r="BC471" s="232"/>
    </row>
    <row r="472" spans="41:55" x14ac:dyDescent="0.25">
      <c r="AO472" s="231"/>
      <c r="AR472" s="235"/>
      <c r="AT472" s="235"/>
      <c r="AV472" s="232"/>
      <c r="AY472" s="235"/>
      <c r="BA472" s="235"/>
      <c r="BC472" s="232"/>
    </row>
    <row r="473" spans="41:55" x14ac:dyDescent="0.25">
      <c r="AO473" s="231"/>
      <c r="AR473" s="235"/>
      <c r="AT473" s="235"/>
      <c r="AV473" s="232"/>
      <c r="AY473" s="235"/>
      <c r="BA473" s="235"/>
      <c r="BC473" s="232"/>
    </row>
    <row r="474" spans="41:55" x14ac:dyDescent="0.25">
      <c r="AO474" s="231"/>
      <c r="AR474" s="235"/>
      <c r="AT474" s="235"/>
      <c r="AV474" s="232"/>
      <c r="AY474" s="235"/>
      <c r="BA474" s="235"/>
      <c r="BC474" s="232"/>
    </row>
    <row r="475" spans="41:55" x14ac:dyDescent="0.25">
      <c r="AO475" s="231"/>
      <c r="AR475" s="235"/>
      <c r="AT475" s="235"/>
      <c r="AV475" s="232"/>
      <c r="AY475" s="235"/>
      <c r="BA475" s="235"/>
      <c r="BC475" s="232"/>
    </row>
    <row r="476" spans="41:55" x14ac:dyDescent="0.25">
      <c r="AO476" s="231"/>
      <c r="AR476" s="235"/>
      <c r="AT476" s="235"/>
      <c r="AV476" s="232"/>
      <c r="AY476" s="235"/>
      <c r="BA476" s="235"/>
      <c r="BC476" s="232"/>
    </row>
    <row r="477" spans="41:55" x14ac:dyDescent="0.25">
      <c r="AO477" s="231"/>
      <c r="AR477" s="235"/>
      <c r="AT477" s="235"/>
      <c r="AV477" s="232"/>
      <c r="AY477" s="235"/>
      <c r="BA477" s="235"/>
      <c r="BC477" s="232"/>
    </row>
    <row r="478" spans="41:55" x14ac:dyDescent="0.25">
      <c r="AO478" s="231"/>
      <c r="AR478" s="235"/>
      <c r="AT478" s="235"/>
      <c r="AV478" s="232"/>
      <c r="AY478" s="235"/>
      <c r="BA478" s="235"/>
      <c r="BC478" s="232"/>
    </row>
    <row r="479" spans="41:55" x14ac:dyDescent="0.25">
      <c r="AO479" s="231"/>
      <c r="AR479" s="235"/>
      <c r="AT479" s="235"/>
      <c r="AV479" s="232"/>
      <c r="AY479" s="235"/>
      <c r="BA479" s="235"/>
      <c r="BC479" s="232"/>
    </row>
    <row r="480" spans="41:55" x14ac:dyDescent="0.25">
      <c r="AO480" s="231"/>
      <c r="AR480" s="235"/>
      <c r="AT480" s="235"/>
      <c r="AV480" s="232"/>
      <c r="AY480" s="235"/>
      <c r="BA480" s="235"/>
      <c r="BC480" s="232"/>
    </row>
    <row r="481" spans="41:55" x14ac:dyDescent="0.25">
      <c r="AO481" s="231"/>
      <c r="AR481" s="235"/>
      <c r="AT481" s="235"/>
      <c r="AV481" s="232"/>
      <c r="AY481" s="235"/>
      <c r="BA481" s="235"/>
      <c r="BC481" s="232"/>
    </row>
    <row r="482" spans="41:55" x14ac:dyDescent="0.25">
      <c r="AO482" s="231"/>
      <c r="AR482" s="235"/>
      <c r="AT482" s="235"/>
      <c r="AV482" s="232"/>
      <c r="AY482" s="235"/>
      <c r="BA482" s="235"/>
      <c r="BC482" s="232"/>
    </row>
    <row r="483" spans="41:55" x14ac:dyDescent="0.25">
      <c r="AO483" s="231"/>
      <c r="AR483" s="235"/>
      <c r="AT483" s="235"/>
      <c r="AV483" s="232"/>
      <c r="AY483" s="235"/>
      <c r="BA483" s="235"/>
      <c r="BC483" s="232"/>
    </row>
    <row r="484" spans="41:55" x14ac:dyDescent="0.25">
      <c r="AO484" s="231"/>
      <c r="AR484" s="235"/>
      <c r="AT484" s="235"/>
      <c r="AV484" s="232"/>
      <c r="AY484" s="235"/>
      <c r="BA484" s="235"/>
      <c r="BC484" s="232"/>
    </row>
    <row r="485" spans="41:55" x14ac:dyDescent="0.25">
      <c r="AO485" s="231"/>
      <c r="AR485" s="235"/>
      <c r="AT485" s="235"/>
      <c r="AV485" s="232"/>
      <c r="AY485" s="235"/>
      <c r="BA485" s="235"/>
      <c r="BC485" s="232"/>
    </row>
    <row r="486" spans="41:55" x14ac:dyDescent="0.25">
      <c r="AO486" s="231"/>
      <c r="AR486" s="235"/>
      <c r="AT486" s="235"/>
      <c r="AV486" s="232"/>
      <c r="AY486" s="235"/>
      <c r="BA486" s="235"/>
      <c r="BC486" s="232"/>
    </row>
    <row r="487" spans="41:55" x14ac:dyDescent="0.25">
      <c r="AO487" s="231"/>
      <c r="AR487" s="235"/>
      <c r="AT487" s="235"/>
      <c r="AV487" s="232"/>
      <c r="AY487" s="235"/>
      <c r="BA487" s="235"/>
      <c r="BC487" s="232"/>
    </row>
    <row r="488" spans="41:55" x14ac:dyDescent="0.25">
      <c r="AO488" s="231"/>
      <c r="AR488" s="235"/>
      <c r="AT488" s="235"/>
      <c r="AV488" s="232"/>
      <c r="AY488" s="235"/>
      <c r="BA488" s="235"/>
      <c r="BC488" s="232"/>
    </row>
    <row r="489" spans="41:55" x14ac:dyDescent="0.25">
      <c r="AO489" s="231"/>
      <c r="AR489" s="235"/>
      <c r="AT489" s="235"/>
      <c r="AV489" s="232"/>
      <c r="AY489" s="235"/>
      <c r="BA489" s="235"/>
      <c r="BC489" s="232"/>
    </row>
    <row r="490" spans="41:55" x14ac:dyDescent="0.25">
      <c r="AO490" s="231"/>
      <c r="AR490" s="235"/>
      <c r="AT490" s="235"/>
      <c r="AV490" s="232"/>
      <c r="AY490" s="235"/>
      <c r="BA490" s="235"/>
      <c r="BC490" s="232"/>
    </row>
    <row r="491" spans="41:55" x14ac:dyDescent="0.25">
      <c r="AO491" s="231"/>
      <c r="AR491" s="235"/>
      <c r="AT491" s="235"/>
      <c r="AV491" s="232"/>
      <c r="AY491" s="235"/>
      <c r="BA491" s="235"/>
      <c r="BC491" s="232"/>
    </row>
    <row r="492" spans="41:55" x14ac:dyDescent="0.25">
      <c r="AO492" s="231"/>
      <c r="AR492" s="235"/>
      <c r="AT492" s="235"/>
      <c r="AV492" s="232"/>
      <c r="AY492" s="235"/>
      <c r="BA492" s="235"/>
      <c r="BC492" s="232"/>
    </row>
    <row r="493" spans="41:55" x14ac:dyDescent="0.25">
      <c r="AO493" s="231"/>
      <c r="AR493" s="235"/>
      <c r="AT493" s="235"/>
      <c r="AV493" s="232"/>
      <c r="AY493" s="235"/>
      <c r="BA493" s="235"/>
      <c r="BC493" s="232"/>
    </row>
    <row r="494" spans="41:55" x14ac:dyDescent="0.25">
      <c r="AO494" s="231"/>
      <c r="AR494" s="235"/>
      <c r="AT494" s="235"/>
      <c r="AV494" s="232"/>
      <c r="AY494" s="235"/>
      <c r="BA494" s="235"/>
      <c r="BC494" s="232"/>
    </row>
    <row r="495" spans="41:55" x14ac:dyDescent="0.25">
      <c r="AO495" s="231"/>
      <c r="AR495" s="235"/>
      <c r="AT495" s="235"/>
      <c r="AV495" s="232"/>
      <c r="AY495" s="235"/>
      <c r="BA495" s="235"/>
      <c r="BC495" s="232"/>
    </row>
    <row r="496" spans="41:55" x14ac:dyDescent="0.25">
      <c r="AO496" s="231"/>
      <c r="AR496" s="235"/>
      <c r="AT496" s="235"/>
      <c r="AV496" s="232"/>
      <c r="AY496" s="235"/>
      <c r="BA496" s="235"/>
      <c r="BC496" s="232"/>
    </row>
    <row r="497" spans="41:55" x14ac:dyDescent="0.25">
      <c r="AO497" s="231"/>
      <c r="AR497" s="235"/>
      <c r="AT497" s="235"/>
      <c r="AV497" s="232"/>
      <c r="AY497" s="235"/>
      <c r="BA497" s="235"/>
      <c r="BC497" s="232"/>
    </row>
    <row r="498" spans="41:55" x14ac:dyDescent="0.25">
      <c r="AO498" s="231"/>
      <c r="AR498" s="235"/>
      <c r="AT498" s="235"/>
      <c r="AV498" s="232"/>
      <c r="AY498" s="235"/>
      <c r="BA498" s="235"/>
      <c r="BC498" s="232"/>
    </row>
    <row r="499" spans="41:55" x14ac:dyDescent="0.25">
      <c r="AO499" s="231"/>
      <c r="AR499" s="235"/>
      <c r="AT499" s="235"/>
      <c r="AV499" s="232"/>
      <c r="AY499" s="235"/>
      <c r="BA499" s="235"/>
      <c r="BC499" s="232"/>
    </row>
    <row r="500" spans="41:55" x14ac:dyDescent="0.25">
      <c r="AO500" s="231"/>
      <c r="AR500" s="235"/>
      <c r="AT500" s="235"/>
      <c r="AV500" s="232"/>
      <c r="AY500" s="235"/>
      <c r="BA500" s="235"/>
      <c r="BC500" s="232"/>
    </row>
    <row r="501" spans="41:55" x14ac:dyDescent="0.25">
      <c r="AO501" s="231"/>
      <c r="AR501" s="235"/>
      <c r="AT501" s="235"/>
      <c r="AV501" s="232"/>
      <c r="AY501" s="235"/>
      <c r="BA501" s="235"/>
      <c r="BC501" s="232"/>
    </row>
    <row r="502" spans="41:55" x14ac:dyDescent="0.25">
      <c r="AO502" s="231"/>
      <c r="AR502" s="235"/>
      <c r="AT502" s="235"/>
      <c r="AV502" s="232"/>
      <c r="AY502" s="235"/>
      <c r="BA502" s="235"/>
      <c r="BC502" s="232"/>
    </row>
    <row r="503" spans="41:55" x14ac:dyDescent="0.25">
      <c r="AO503" s="231"/>
      <c r="AR503" s="235"/>
      <c r="AT503" s="235"/>
      <c r="AV503" s="232"/>
      <c r="AY503" s="235"/>
      <c r="BA503" s="235"/>
      <c r="BC503" s="232"/>
    </row>
    <row r="504" spans="41:55" x14ac:dyDescent="0.25">
      <c r="AO504" s="231"/>
      <c r="AR504" s="235"/>
      <c r="AT504" s="235"/>
      <c r="AV504" s="232"/>
      <c r="AY504" s="235"/>
      <c r="BA504" s="235"/>
      <c r="BC504" s="232"/>
    </row>
    <row r="505" spans="41:55" x14ac:dyDescent="0.25">
      <c r="AO505" s="231"/>
      <c r="AR505" s="235"/>
      <c r="AT505" s="235"/>
      <c r="AV505" s="232"/>
      <c r="AY505" s="235"/>
      <c r="BA505" s="235"/>
      <c r="BC505" s="232"/>
    </row>
    <row r="506" spans="41:55" x14ac:dyDescent="0.25">
      <c r="AO506" s="231"/>
      <c r="AR506" s="235"/>
      <c r="AT506" s="235"/>
      <c r="AV506" s="232"/>
      <c r="AY506" s="235"/>
      <c r="BA506" s="235"/>
      <c r="BC506" s="232"/>
    </row>
    <row r="507" spans="41:55" x14ac:dyDescent="0.25">
      <c r="AO507" s="231"/>
      <c r="AR507" s="235"/>
      <c r="AT507" s="235"/>
      <c r="AV507" s="232"/>
      <c r="AY507" s="235"/>
      <c r="BA507" s="235"/>
      <c r="BC507" s="232"/>
    </row>
    <row r="508" spans="41:55" x14ac:dyDescent="0.25">
      <c r="AO508" s="231"/>
      <c r="AR508" s="235"/>
      <c r="AT508" s="235"/>
      <c r="AV508" s="232"/>
      <c r="AY508" s="235"/>
      <c r="BA508" s="235"/>
      <c r="BC508" s="232"/>
    </row>
    <row r="509" spans="41:55" x14ac:dyDescent="0.25">
      <c r="AO509" s="231"/>
      <c r="AR509" s="235"/>
      <c r="AT509" s="235"/>
      <c r="AV509" s="232"/>
      <c r="AY509" s="235"/>
      <c r="BA509" s="235"/>
      <c r="BC509" s="232"/>
    </row>
    <row r="510" spans="41:55" x14ac:dyDescent="0.25">
      <c r="AO510" s="231"/>
      <c r="AR510" s="235"/>
      <c r="AT510" s="235"/>
      <c r="AV510" s="232"/>
      <c r="AY510" s="235"/>
      <c r="BA510" s="235"/>
      <c r="BC510" s="232"/>
    </row>
    <row r="511" spans="41:55" x14ac:dyDescent="0.25">
      <c r="AO511" s="231"/>
      <c r="AR511" s="235"/>
      <c r="AT511" s="235"/>
      <c r="AV511" s="232"/>
      <c r="AY511" s="235"/>
      <c r="BA511" s="235"/>
      <c r="BC511" s="232"/>
    </row>
    <row r="512" spans="41:55" x14ac:dyDescent="0.25">
      <c r="AO512" s="231"/>
      <c r="AR512" s="235"/>
      <c r="AT512" s="235"/>
      <c r="AV512" s="232"/>
      <c r="AY512" s="235"/>
      <c r="BA512" s="235"/>
      <c r="BC512" s="232"/>
    </row>
    <row r="513" spans="41:55" x14ac:dyDescent="0.25">
      <c r="AO513" s="231"/>
      <c r="AR513" s="235"/>
      <c r="AT513" s="235"/>
      <c r="AV513" s="232"/>
      <c r="AY513" s="235"/>
      <c r="BA513" s="235"/>
      <c r="BC513" s="232"/>
    </row>
    <row r="514" spans="41:55" x14ac:dyDescent="0.25">
      <c r="AO514" s="231"/>
      <c r="AR514" s="235"/>
      <c r="AT514" s="235"/>
      <c r="AV514" s="232"/>
      <c r="AY514" s="235"/>
      <c r="BA514" s="235"/>
      <c r="BC514" s="232"/>
    </row>
    <row r="515" spans="41:55" x14ac:dyDescent="0.25">
      <c r="AO515" s="231"/>
      <c r="AR515" s="235"/>
      <c r="AT515" s="235"/>
      <c r="AV515" s="232"/>
      <c r="AY515" s="235"/>
      <c r="BA515" s="235"/>
      <c r="BC515" s="232"/>
    </row>
    <row r="516" spans="41:55" x14ac:dyDescent="0.25">
      <c r="AO516" s="231"/>
      <c r="AR516" s="235"/>
      <c r="AT516" s="235"/>
      <c r="AV516" s="232"/>
      <c r="AY516" s="235"/>
      <c r="BA516" s="235"/>
      <c r="BC516" s="232"/>
    </row>
    <row r="517" spans="41:55" x14ac:dyDescent="0.25">
      <c r="AO517" s="231"/>
      <c r="AR517" s="235"/>
      <c r="AT517" s="235"/>
      <c r="AV517" s="232"/>
      <c r="AY517" s="235"/>
      <c r="BA517" s="235"/>
      <c r="BC517" s="232"/>
    </row>
    <row r="518" spans="41:55" x14ac:dyDescent="0.25">
      <c r="AO518" s="231"/>
      <c r="AR518" s="235"/>
      <c r="AT518" s="235"/>
      <c r="AV518" s="232"/>
      <c r="AY518" s="235"/>
      <c r="BA518" s="235"/>
      <c r="BC518" s="232"/>
    </row>
    <row r="519" spans="41:55" x14ac:dyDescent="0.25">
      <c r="AO519" s="231"/>
      <c r="AR519" s="235"/>
      <c r="AT519" s="235"/>
      <c r="AV519" s="232"/>
      <c r="AY519" s="235"/>
      <c r="BA519" s="235"/>
      <c r="BC519" s="232"/>
    </row>
    <row r="520" spans="41:55" x14ac:dyDescent="0.25">
      <c r="AO520" s="231"/>
      <c r="AR520" s="235"/>
      <c r="AT520" s="235"/>
      <c r="AV520" s="232"/>
      <c r="AY520" s="235"/>
      <c r="BA520" s="235"/>
      <c r="BC520" s="232"/>
    </row>
    <row r="521" spans="41:55" x14ac:dyDescent="0.25">
      <c r="AO521" s="231"/>
      <c r="AR521" s="235"/>
      <c r="AT521" s="235"/>
      <c r="AV521" s="232"/>
      <c r="AY521" s="235"/>
      <c r="BA521" s="235"/>
      <c r="BC521" s="232"/>
    </row>
    <row r="522" spans="41:55" x14ac:dyDescent="0.25">
      <c r="AO522" s="231"/>
      <c r="AR522" s="235"/>
      <c r="AT522" s="235"/>
      <c r="AV522" s="232"/>
      <c r="AY522" s="235"/>
      <c r="BA522" s="235"/>
      <c r="BC522" s="232"/>
    </row>
    <row r="523" spans="41:55" x14ac:dyDescent="0.25">
      <c r="AO523" s="231"/>
      <c r="AR523" s="235"/>
      <c r="AT523" s="235"/>
      <c r="AV523" s="232"/>
      <c r="AY523" s="235"/>
      <c r="BA523" s="235"/>
      <c r="BC523" s="232"/>
    </row>
    <row r="524" spans="41:55" x14ac:dyDescent="0.25">
      <c r="AO524" s="231"/>
      <c r="AR524" s="235"/>
      <c r="AT524" s="235"/>
      <c r="AV524" s="232"/>
      <c r="AY524" s="235"/>
      <c r="BA524" s="235"/>
      <c r="BC524" s="232"/>
    </row>
    <row r="525" spans="41:55" x14ac:dyDescent="0.25">
      <c r="AO525" s="231"/>
      <c r="AR525" s="235"/>
      <c r="AT525" s="235"/>
      <c r="AV525" s="232"/>
      <c r="AY525" s="235"/>
      <c r="BA525" s="235"/>
      <c r="BC525" s="232"/>
    </row>
    <row r="526" spans="41:55" x14ac:dyDescent="0.25">
      <c r="AO526" s="231"/>
      <c r="AR526" s="235"/>
      <c r="AT526" s="235"/>
      <c r="AV526" s="232"/>
      <c r="AY526" s="235"/>
      <c r="BA526" s="235"/>
      <c r="BC526" s="232"/>
    </row>
    <row r="527" spans="41:55" x14ac:dyDescent="0.25">
      <c r="AO527" s="231"/>
      <c r="AR527" s="235"/>
      <c r="AT527" s="235"/>
      <c r="AV527" s="232"/>
      <c r="AY527" s="235"/>
      <c r="BA527" s="235"/>
      <c r="BC527" s="232"/>
    </row>
    <row r="528" spans="41:55" x14ac:dyDescent="0.25">
      <c r="AO528" s="231"/>
      <c r="AR528" s="235"/>
      <c r="AT528" s="235"/>
      <c r="AV528" s="232"/>
      <c r="AY528" s="235"/>
      <c r="BA528" s="235"/>
      <c r="BC528" s="232"/>
    </row>
    <row r="529" spans="41:55" x14ac:dyDescent="0.25">
      <c r="AO529" s="231"/>
      <c r="AR529" s="235"/>
      <c r="AT529" s="235"/>
      <c r="AV529" s="232"/>
      <c r="AY529" s="235"/>
      <c r="BA529" s="235"/>
      <c r="BC529" s="232"/>
    </row>
    <row r="530" spans="41:55" x14ac:dyDescent="0.25">
      <c r="AO530" s="231"/>
      <c r="AR530" s="235"/>
      <c r="AT530" s="235"/>
      <c r="AV530" s="232"/>
      <c r="AY530" s="235"/>
      <c r="BA530" s="235"/>
      <c r="BC530" s="232"/>
    </row>
    <row r="531" spans="41:55" x14ac:dyDescent="0.25">
      <c r="AO531" s="231"/>
      <c r="AR531" s="235"/>
      <c r="AT531" s="235"/>
      <c r="AV531" s="232"/>
      <c r="AY531" s="235"/>
      <c r="BA531" s="235"/>
      <c r="BC531" s="232"/>
    </row>
    <row r="532" spans="41:55" x14ac:dyDescent="0.25">
      <c r="AO532" s="231"/>
      <c r="AR532" s="235"/>
      <c r="AT532" s="235"/>
      <c r="AV532" s="232"/>
      <c r="AY532" s="235"/>
      <c r="BA532" s="235"/>
      <c r="BC532" s="232"/>
    </row>
    <row r="533" spans="41:55" x14ac:dyDescent="0.25">
      <c r="AO533" s="231"/>
      <c r="AR533" s="235"/>
      <c r="AT533" s="235"/>
      <c r="AV533" s="232"/>
      <c r="AY533" s="235"/>
      <c r="BA533" s="235"/>
      <c r="BC533" s="232"/>
    </row>
    <row r="534" spans="41:55" x14ac:dyDescent="0.25">
      <c r="AO534" s="231"/>
      <c r="AR534" s="235"/>
      <c r="AT534" s="235"/>
      <c r="AV534" s="232"/>
      <c r="AY534" s="235"/>
      <c r="BA534" s="235"/>
      <c r="BC534" s="232"/>
    </row>
    <row r="535" spans="41:55" x14ac:dyDescent="0.25">
      <c r="AO535" s="231"/>
      <c r="AR535" s="235"/>
      <c r="AT535" s="235"/>
      <c r="AV535" s="232"/>
      <c r="AY535" s="235"/>
      <c r="BA535" s="235"/>
      <c r="BC535" s="232"/>
    </row>
    <row r="536" spans="41:55" x14ac:dyDescent="0.25">
      <c r="AO536" s="231"/>
      <c r="AR536" s="235"/>
      <c r="AT536" s="235"/>
      <c r="AV536" s="232"/>
      <c r="AY536" s="235"/>
      <c r="BA536" s="235"/>
      <c r="BC536" s="232"/>
    </row>
    <row r="537" spans="41:55" x14ac:dyDescent="0.25">
      <c r="AO537" s="231"/>
      <c r="AR537" s="235"/>
      <c r="AT537" s="235"/>
      <c r="AV537" s="232"/>
      <c r="AY537" s="235"/>
      <c r="BA537" s="235"/>
      <c r="BC537" s="232"/>
    </row>
    <row r="538" spans="41:55" x14ac:dyDescent="0.25">
      <c r="AO538" s="231"/>
      <c r="AR538" s="235"/>
      <c r="AT538" s="235"/>
      <c r="AV538" s="232"/>
      <c r="AY538" s="235"/>
      <c r="BA538" s="235"/>
      <c r="BC538" s="232"/>
    </row>
    <row r="539" spans="41:55" x14ac:dyDescent="0.25">
      <c r="AO539" s="231"/>
      <c r="AR539" s="235"/>
      <c r="AT539" s="235"/>
      <c r="AV539" s="232"/>
      <c r="AY539" s="235"/>
      <c r="BA539" s="235"/>
      <c r="BC539" s="232"/>
    </row>
    <row r="540" spans="41:55" x14ac:dyDescent="0.25">
      <c r="AO540" s="231"/>
      <c r="AR540" s="235"/>
      <c r="AT540" s="235"/>
      <c r="AV540" s="232"/>
      <c r="AY540" s="235"/>
      <c r="BA540" s="235"/>
      <c r="BC540" s="232"/>
    </row>
    <row r="541" spans="41:55" x14ac:dyDescent="0.25">
      <c r="AO541" s="231"/>
      <c r="AR541" s="235"/>
      <c r="AT541" s="235"/>
      <c r="AV541" s="232"/>
      <c r="AY541" s="235"/>
      <c r="BA541" s="235"/>
      <c r="BC541" s="232"/>
    </row>
    <row r="542" spans="41:55" x14ac:dyDescent="0.25">
      <c r="AO542" s="231"/>
      <c r="AR542" s="235"/>
      <c r="AT542" s="235"/>
      <c r="AV542" s="232"/>
      <c r="AY542" s="235"/>
      <c r="BA542" s="235"/>
      <c r="BC542" s="232"/>
    </row>
    <row r="543" spans="41:55" x14ac:dyDescent="0.25">
      <c r="AO543" s="231"/>
      <c r="AR543" s="235"/>
      <c r="AT543" s="235"/>
      <c r="AV543" s="232"/>
      <c r="AY543" s="235"/>
      <c r="BA543" s="235"/>
      <c r="BC543" s="232"/>
    </row>
    <row r="544" spans="41:55" x14ac:dyDescent="0.25">
      <c r="AO544" s="231"/>
      <c r="AR544" s="235"/>
      <c r="AT544" s="235"/>
      <c r="AV544" s="232"/>
      <c r="AY544" s="235"/>
      <c r="BA544" s="235"/>
      <c r="BC544" s="232"/>
    </row>
    <row r="545" spans="41:55" x14ac:dyDescent="0.25">
      <c r="AO545" s="231"/>
      <c r="AR545" s="235"/>
      <c r="AT545" s="235"/>
      <c r="AV545" s="232"/>
      <c r="AY545" s="235"/>
      <c r="BA545" s="235"/>
      <c r="BC545" s="232"/>
    </row>
    <row r="546" spans="41:55" x14ac:dyDescent="0.25">
      <c r="AO546" s="231"/>
      <c r="AR546" s="235"/>
      <c r="AT546" s="235"/>
      <c r="AV546" s="232"/>
      <c r="AY546" s="235"/>
      <c r="BA546" s="235"/>
      <c r="BC546" s="232"/>
    </row>
    <row r="547" spans="41:55" x14ac:dyDescent="0.25">
      <c r="AO547" s="231"/>
      <c r="AR547" s="235"/>
      <c r="AT547" s="235"/>
      <c r="AV547" s="232"/>
      <c r="AY547" s="235"/>
      <c r="BA547" s="235"/>
      <c r="BC547" s="232"/>
    </row>
    <row r="548" spans="41:55" x14ac:dyDescent="0.25">
      <c r="AO548" s="231"/>
      <c r="AR548" s="235"/>
      <c r="AT548" s="235"/>
      <c r="AV548" s="232"/>
      <c r="AY548" s="235"/>
      <c r="BA548" s="235"/>
      <c r="BC548" s="232"/>
    </row>
    <row r="549" spans="41:55" x14ac:dyDescent="0.25">
      <c r="AO549" s="231"/>
      <c r="AR549" s="235"/>
      <c r="AT549" s="235"/>
      <c r="AV549" s="232"/>
      <c r="AY549" s="235"/>
      <c r="BA549" s="235"/>
      <c r="BC549" s="232"/>
    </row>
    <row r="550" spans="41:55" x14ac:dyDescent="0.25">
      <c r="AO550" s="231"/>
      <c r="AR550" s="235"/>
      <c r="AT550" s="235"/>
      <c r="AV550" s="232"/>
      <c r="AY550" s="235"/>
      <c r="BA550" s="235"/>
      <c r="BC550" s="232"/>
    </row>
    <row r="551" spans="41:55" x14ac:dyDescent="0.25">
      <c r="AO551" s="231"/>
      <c r="AR551" s="235"/>
      <c r="AT551" s="235"/>
      <c r="AV551" s="232"/>
      <c r="AY551" s="235"/>
      <c r="BA551" s="235"/>
      <c r="BC551" s="232"/>
    </row>
    <row r="552" spans="41:55" x14ac:dyDescent="0.25">
      <c r="AO552" s="231"/>
      <c r="AR552" s="235"/>
      <c r="AT552" s="235"/>
      <c r="AV552" s="232"/>
      <c r="AY552" s="235"/>
      <c r="BA552" s="235"/>
      <c r="BC552" s="232"/>
    </row>
    <row r="553" spans="41:55" x14ac:dyDescent="0.25">
      <c r="AO553" s="231"/>
      <c r="AR553" s="235"/>
      <c r="AT553" s="235"/>
      <c r="AV553" s="232"/>
      <c r="AY553" s="235"/>
      <c r="BA553" s="235"/>
      <c r="BC553" s="232"/>
    </row>
    <row r="554" spans="41:55" x14ac:dyDescent="0.25">
      <c r="AO554" s="231"/>
      <c r="AR554" s="235"/>
      <c r="AT554" s="235"/>
      <c r="AV554" s="232"/>
      <c r="AY554" s="235"/>
      <c r="BA554" s="235"/>
      <c r="BC554" s="232"/>
    </row>
    <row r="555" spans="41:55" x14ac:dyDescent="0.25">
      <c r="AO555" s="231"/>
      <c r="AR555" s="235"/>
      <c r="AT555" s="235"/>
      <c r="AV555" s="232"/>
      <c r="AY555" s="235"/>
      <c r="BA555" s="235"/>
      <c r="BC555" s="232"/>
    </row>
    <row r="556" spans="41:55" x14ac:dyDescent="0.25">
      <c r="AO556" s="231"/>
      <c r="AR556" s="235"/>
      <c r="AT556" s="235"/>
      <c r="AV556" s="232"/>
      <c r="AY556" s="235"/>
      <c r="BA556" s="235"/>
      <c r="BC556" s="232"/>
    </row>
    <row r="557" spans="41:55" x14ac:dyDescent="0.25">
      <c r="AO557" s="231"/>
      <c r="AR557" s="235"/>
      <c r="AT557" s="235"/>
      <c r="AV557" s="232"/>
      <c r="AY557" s="235"/>
      <c r="BA557" s="235"/>
      <c r="BC557" s="232"/>
    </row>
    <row r="558" spans="41:55" x14ac:dyDescent="0.25">
      <c r="AO558" s="231"/>
      <c r="AR558" s="235"/>
      <c r="AT558" s="235"/>
      <c r="AV558" s="232"/>
      <c r="AY558" s="235"/>
      <c r="BA558" s="235"/>
      <c r="BC558" s="232"/>
    </row>
    <row r="559" spans="41:55" x14ac:dyDescent="0.25">
      <c r="AO559" s="231"/>
      <c r="AR559" s="235"/>
      <c r="AT559" s="235"/>
      <c r="AV559" s="232"/>
      <c r="AY559" s="235"/>
      <c r="BA559" s="235"/>
      <c r="BC559" s="232"/>
    </row>
    <row r="560" spans="41:55" x14ac:dyDescent="0.25">
      <c r="AO560" s="231"/>
      <c r="AR560" s="235"/>
      <c r="AT560" s="235"/>
      <c r="AV560" s="232"/>
      <c r="AY560" s="235"/>
      <c r="BA560" s="235"/>
      <c r="BC560" s="232"/>
    </row>
    <row r="561" spans="41:55" x14ac:dyDescent="0.25">
      <c r="AO561" s="231"/>
      <c r="AR561" s="235"/>
      <c r="AT561" s="235"/>
      <c r="AV561" s="232"/>
      <c r="AY561" s="235"/>
      <c r="BA561" s="235"/>
      <c r="BC561" s="232"/>
    </row>
    <row r="562" spans="41:55" x14ac:dyDescent="0.25">
      <c r="AO562" s="231"/>
      <c r="AR562" s="235"/>
      <c r="AT562" s="235"/>
      <c r="AV562" s="232"/>
      <c r="AY562" s="235"/>
      <c r="BA562" s="235"/>
      <c r="BC562" s="232"/>
    </row>
    <row r="563" spans="41:55" x14ac:dyDescent="0.25">
      <c r="AO563" s="231"/>
      <c r="AR563" s="235"/>
      <c r="AT563" s="235"/>
      <c r="AV563" s="232"/>
      <c r="AY563" s="235"/>
      <c r="BA563" s="235"/>
      <c r="BC563" s="232"/>
    </row>
    <row r="564" spans="41:55" x14ac:dyDescent="0.25">
      <c r="AO564" s="231"/>
      <c r="AR564" s="235"/>
      <c r="AT564" s="235"/>
      <c r="AV564" s="232"/>
      <c r="AY564" s="235"/>
      <c r="BA564" s="235"/>
      <c r="BC564" s="232"/>
    </row>
    <row r="565" spans="41:55" x14ac:dyDescent="0.25">
      <c r="AO565" s="231"/>
      <c r="AR565" s="235"/>
      <c r="AT565" s="235"/>
      <c r="AV565" s="232"/>
      <c r="AY565" s="235"/>
      <c r="BA565" s="235"/>
      <c r="BC565" s="232"/>
    </row>
    <row r="566" spans="41:55" x14ac:dyDescent="0.25">
      <c r="AO566" s="231"/>
      <c r="AR566" s="235"/>
      <c r="AT566" s="235"/>
      <c r="AV566" s="232"/>
      <c r="AY566" s="235"/>
      <c r="BA566" s="235"/>
      <c r="BC566" s="232"/>
    </row>
    <row r="567" spans="41:55" x14ac:dyDescent="0.25">
      <c r="AO567" s="231"/>
      <c r="AR567" s="235"/>
      <c r="AT567" s="235"/>
      <c r="AV567" s="232"/>
      <c r="AY567" s="235"/>
      <c r="BA567" s="235"/>
      <c r="BC567" s="232"/>
    </row>
    <row r="568" spans="41:55" x14ac:dyDescent="0.25">
      <c r="AO568" s="231"/>
      <c r="AR568" s="235"/>
      <c r="AT568" s="235"/>
      <c r="AV568" s="232"/>
      <c r="AY568" s="235"/>
      <c r="BA568" s="235"/>
      <c r="BC568" s="232"/>
    </row>
    <row r="569" spans="41:55" x14ac:dyDescent="0.25">
      <c r="AO569" s="231"/>
      <c r="AR569" s="235"/>
      <c r="AT569" s="235"/>
      <c r="AV569" s="232"/>
      <c r="AY569" s="235"/>
      <c r="BA569" s="235"/>
      <c r="BC569" s="232"/>
    </row>
    <row r="570" spans="41:55" x14ac:dyDescent="0.25">
      <c r="AO570" s="231"/>
      <c r="AR570" s="235"/>
      <c r="AT570" s="235"/>
      <c r="AV570" s="232"/>
      <c r="AY570" s="235"/>
      <c r="BA570" s="235"/>
      <c r="BC570" s="232"/>
    </row>
    <row r="571" spans="41:55" x14ac:dyDescent="0.25">
      <c r="AO571" s="231"/>
      <c r="AR571" s="235"/>
      <c r="AT571" s="235"/>
      <c r="AV571" s="232"/>
      <c r="AY571" s="235"/>
      <c r="BA571" s="235"/>
      <c r="BC571" s="232"/>
    </row>
    <row r="572" spans="41:55" x14ac:dyDescent="0.25">
      <c r="AO572" s="231"/>
      <c r="AR572" s="235"/>
      <c r="AT572" s="235"/>
      <c r="AV572" s="232"/>
      <c r="AY572" s="235"/>
      <c r="BA572" s="235"/>
      <c r="BC572" s="232"/>
    </row>
    <row r="573" spans="41:55" x14ac:dyDescent="0.25">
      <c r="AO573" s="231"/>
      <c r="AR573" s="235"/>
      <c r="AT573" s="235"/>
      <c r="AV573" s="232"/>
      <c r="AY573" s="235"/>
      <c r="BA573" s="235"/>
      <c r="BC573" s="232"/>
    </row>
    <row r="574" spans="41:55" x14ac:dyDescent="0.25">
      <c r="AO574" s="231"/>
      <c r="AR574" s="235"/>
      <c r="AT574" s="235"/>
      <c r="AV574" s="232"/>
      <c r="AY574" s="235"/>
      <c r="BA574" s="235"/>
      <c r="BC574" s="232"/>
    </row>
    <row r="575" spans="41:55" x14ac:dyDescent="0.25">
      <c r="AO575" s="231"/>
      <c r="AR575" s="235"/>
      <c r="AT575" s="235"/>
      <c r="AV575" s="232"/>
      <c r="AY575" s="235"/>
      <c r="BA575" s="235"/>
      <c r="BC575" s="232"/>
    </row>
    <row r="576" spans="41:55" x14ac:dyDescent="0.25">
      <c r="AO576" s="231"/>
      <c r="AR576" s="235"/>
      <c r="AT576" s="235"/>
      <c r="AV576" s="232"/>
      <c r="AY576" s="235"/>
      <c r="BA576" s="235"/>
      <c r="BC576" s="232"/>
    </row>
    <row r="577" spans="41:55" x14ac:dyDescent="0.25">
      <c r="AO577" s="231"/>
      <c r="AR577" s="235"/>
      <c r="AT577" s="235"/>
      <c r="AV577" s="232"/>
      <c r="AY577" s="235"/>
      <c r="BA577" s="235"/>
      <c r="BC577" s="232"/>
    </row>
    <row r="578" spans="41:55" x14ac:dyDescent="0.25">
      <c r="AO578" s="231"/>
      <c r="AR578" s="235"/>
      <c r="AT578" s="235"/>
      <c r="AV578" s="232"/>
      <c r="AY578" s="235"/>
      <c r="BA578" s="235"/>
      <c r="BC578" s="232"/>
    </row>
    <row r="579" spans="41:55" x14ac:dyDescent="0.25">
      <c r="AO579" s="231"/>
      <c r="AR579" s="235"/>
      <c r="AT579" s="235"/>
      <c r="AV579" s="232"/>
      <c r="AY579" s="235"/>
      <c r="BA579" s="235"/>
      <c r="BC579" s="232"/>
    </row>
    <row r="580" spans="41:55" x14ac:dyDescent="0.25">
      <c r="AO580" s="231"/>
      <c r="AR580" s="235"/>
      <c r="AT580" s="235"/>
      <c r="AV580" s="232"/>
      <c r="AY580" s="235"/>
      <c r="BA580" s="235"/>
      <c r="BC580" s="232"/>
    </row>
    <row r="581" spans="41:55" x14ac:dyDescent="0.25">
      <c r="AO581" s="231"/>
      <c r="AR581" s="235"/>
      <c r="AT581" s="235"/>
      <c r="AV581" s="232"/>
      <c r="AY581" s="235"/>
      <c r="BA581" s="235"/>
      <c r="BC581" s="232"/>
    </row>
    <row r="582" spans="41:55" x14ac:dyDescent="0.25">
      <c r="AO582" s="231"/>
      <c r="AR582" s="235"/>
      <c r="AT582" s="235"/>
      <c r="AV582" s="232"/>
      <c r="AY582" s="235"/>
      <c r="BA582" s="235"/>
      <c r="BC582" s="232"/>
    </row>
    <row r="583" spans="41:55" x14ac:dyDescent="0.25">
      <c r="AO583" s="231"/>
      <c r="AR583" s="235"/>
      <c r="AT583" s="235"/>
      <c r="AV583" s="232"/>
      <c r="AY583" s="235"/>
      <c r="BA583" s="235"/>
      <c r="BC583" s="232"/>
    </row>
    <row r="584" spans="41:55" x14ac:dyDescent="0.25">
      <c r="AO584" s="231"/>
      <c r="AR584" s="235"/>
      <c r="AT584" s="235"/>
      <c r="AV584" s="232"/>
      <c r="AY584" s="235"/>
      <c r="BA584" s="235"/>
      <c r="BC584" s="232"/>
    </row>
    <row r="585" spans="41:55" x14ac:dyDescent="0.25">
      <c r="AO585" s="231"/>
      <c r="AR585" s="235"/>
      <c r="AT585" s="235"/>
      <c r="AV585" s="232"/>
      <c r="AY585" s="235"/>
      <c r="BA585" s="235"/>
      <c r="BC585" s="232"/>
    </row>
    <row r="586" spans="41:55" x14ac:dyDescent="0.25">
      <c r="AO586" s="231"/>
      <c r="AR586" s="235"/>
      <c r="AT586" s="235"/>
      <c r="AV586" s="232"/>
      <c r="AY586" s="235"/>
      <c r="BA586" s="235"/>
      <c r="BC586" s="232"/>
    </row>
    <row r="587" spans="41:55" x14ac:dyDescent="0.25">
      <c r="AO587" s="231"/>
      <c r="AR587" s="235"/>
      <c r="AT587" s="235"/>
      <c r="AV587" s="232"/>
      <c r="AY587" s="235"/>
      <c r="BA587" s="235"/>
      <c r="BC587" s="232"/>
    </row>
    <row r="588" spans="41:55" x14ac:dyDescent="0.25">
      <c r="AO588" s="231"/>
      <c r="AR588" s="235"/>
      <c r="AT588" s="235"/>
      <c r="AV588" s="232"/>
      <c r="AY588" s="235"/>
      <c r="BA588" s="235"/>
      <c r="BC588" s="232"/>
    </row>
    <row r="589" spans="41:55" x14ac:dyDescent="0.25">
      <c r="AO589" s="231"/>
      <c r="AR589" s="235"/>
      <c r="AT589" s="235"/>
      <c r="AV589" s="232"/>
      <c r="AY589" s="235"/>
      <c r="BA589" s="235"/>
      <c r="BC589" s="232"/>
    </row>
    <row r="590" spans="41:55" x14ac:dyDescent="0.25">
      <c r="AO590" s="231"/>
      <c r="AR590" s="235"/>
      <c r="AT590" s="235"/>
      <c r="AV590" s="232"/>
      <c r="AY590" s="235"/>
      <c r="BA590" s="235"/>
      <c r="BC590" s="232"/>
    </row>
    <row r="591" spans="41:55" x14ac:dyDescent="0.25">
      <c r="AO591" s="231"/>
      <c r="AR591" s="235"/>
      <c r="AT591" s="235"/>
      <c r="AV591" s="232"/>
      <c r="AY591" s="235"/>
      <c r="BA591" s="235"/>
      <c r="BC591" s="232"/>
    </row>
    <row r="592" spans="41:55" x14ac:dyDescent="0.25">
      <c r="AO592" s="231"/>
      <c r="AR592" s="235"/>
      <c r="AT592" s="235"/>
      <c r="AV592" s="232"/>
      <c r="AY592" s="235"/>
      <c r="BA592" s="235"/>
      <c r="BC592" s="232"/>
    </row>
    <row r="593" spans="41:55" x14ac:dyDescent="0.25">
      <c r="AO593" s="231"/>
      <c r="AR593" s="235"/>
      <c r="AT593" s="235"/>
      <c r="AV593" s="232"/>
      <c r="AY593" s="235"/>
      <c r="BA593" s="235"/>
      <c r="BC593" s="232"/>
    </row>
    <row r="594" spans="41:55" x14ac:dyDescent="0.25">
      <c r="AO594" s="231"/>
      <c r="AR594" s="235"/>
      <c r="AT594" s="235"/>
      <c r="AV594" s="232"/>
      <c r="AY594" s="235"/>
      <c r="BA594" s="235"/>
      <c r="BC594" s="232"/>
    </row>
    <row r="595" spans="41:55" x14ac:dyDescent="0.25">
      <c r="AO595" s="231"/>
      <c r="AR595" s="235"/>
      <c r="AT595" s="235"/>
      <c r="AV595" s="232"/>
      <c r="AY595" s="235"/>
      <c r="BA595" s="235"/>
      <c r="BC595" s="232"/>
    </row>
    <row r="596" spans="41:55" x14ac:dyDescent="0.25">
      <c r="AO596" s="231"/>
      <c r="AR596" s="235"/>
      <c r="AT596" s="235"/>
      <c r="AV596" s="232"/>
      <c r="AY596" s="235"/>
      <c r="BA596" s="235"/>
      <c r="BC596" s="232"/>
    </row>
    <row r="597" spans="41:55" x14ac:dyDescent="0.25">
      <c r="AO597" s="231"/>
      <c r="AR597" s="235"/>
      <c r="AT597" s="235"/>
      <c r="AV597" s="232"/>
      <c r="AY597" s="235"/>
      <c r="BA597" s="235"/>
      <c r="BC597" s="232"/>
    </row>
    <row r="598" spans="41:55" x14ac:dyDescent="0.25">
      <c r="AO598" s="231"/>
      <c r="AR598" s="235"/>
      <c r="AT598" s="235"/>
      <c r="AV598" s="232"/>
      <c r="AY598" s="235"/>
      <c r="BA598" s="235"/>
      <c r="BC598" s="232"/>
    </row>
    <row r="599" spans="41:55" x14ac:dyDescent="0.25">
      <c r="AO599" s="231"/>
      <c r="AR599" s="235"/>
      <c r="AT599" s="235"/>
      <c r="AV599" s="232"/>
      <c r="AY599" s="235"/>
      <c r="BA599" s="235"/>
      <c r="BC599" s="232"/>
    </row>
    <row r="600" spans="41:55" x14ac:dyDescent="0.25">
      <c r="AO600" s="231"/>
      <c r="AR600" s="235"/>
      <c r="AT600" s="235"/>
      <c r="AV600" s="232"/>
      <c r="AY600" s="235"/>
      <c r="BA600" s="235"/>
      <c r="BC600" s="232"/>
    </row>
    <row r="601" spans="41:55" x14ac:dyDescent="0.25">
      <c r="AO601" s="231"/>
      <c r="AR601" s="235"/>
      <c r="AT601" s="235"/>
      <c r="AV601" s="232"/>
      <c r="AY601" s="235"/>
      <c r="BA601" s="235"/>
      <c r="BC601" s="232"/>
    </row>
    <row r="602" spans="41:55" x14ac:dyDescent="0.25">
      <c r="AO602" s="231"/>
      <c r="AR602" s="235"/>
      <c r="AT602" s="235"/>
      <c r="AV602" s="232"/>
      <c r="AY602" s="235"/>
      <c r="BA602" s="235"/>
      <c r="BC602" s="232"/>
    </row>
    <row r="603" spans="41:55" x14ac:dyDescent="0.25">
      <c r="AO603" s="231"/>
      <c r="AR603" s="235"/>
      <c r="AT603" s="235"/>
      <c r="AV603" s="232"/>
      <c r="AY603" s="235"/>
      <c r="BA603" s="235"/>
      <c r="BC603" s="232"/>
    </row>
    <row r="604" spans="41:55" x14ac:dyDescent="0.25">
      <c r="AO604" s="231"/>
      <c r="AR604" s="235"/>
      <c r="AT604" s="235"/>
      <c r="AV604" s="232"/>
      <c r="AY604" s="235"/>
      <c r="BA604" s="235"/>
      <c r="BC604" s="232"/>
    </row>
    <row r="605" spans="41:55" x14ac:dyDescent="0.25">
      <c r="AO605" s="231"/>
      <c r="AR605" s="235"/>
      <c r="AT605" s="235"/>
      <c r="AV605" s="232"/>
      <c r="AY605" s="235"/>
      <c r="BA605" s="235"/>
      <c r="BC605" s="232"/>
    </row>
    <row r="606" spans="41:55" x14ac:dyDescent="0.25">
      <c r="AO606" s="231"/>
      <c r="AR606" s="235"/>
      <c r="AT606" s="235"/>
      <c r="AV606" s="232"/>
      <c r="AY606" s="235"/>
      <c r="BA606" s="235"/>
      <c r="BC606" s="232"/>
    </row>
    <row r="607" spans="41:55" x14ac:dyDescent="0.25">
      <c r="AO607" s="231"/>
      <c r="AR607" s="235"/>
      <c r="AT607" s="235"/>
      <c r="AV607" s="232"/>
      <c r="AY607" s="235"/>
      <c r="BA607" s="235"/>
      <c r="BC607" s="232"/>
    </row>
    <row r="608" spans="41:55" x14ac:dyDescent="0.25">
      <c r="AO608" s="231"/>
      <c r="AR608" s="235"/>
      <c r="AT608" s="235"/>
      <c r="AV608" s="232"/>
      <c r="AY608" s="235"/>
      <c r="BA608" s="235"/>
      <c r="BC608" s="232"/>
    </row>
    <row r="609" spans="41:55" x14ac:dyDescent="0.25">
      <c r="AO609" s="231"/>
      <c r="AR609" s="235"/>
      <c r="AT609" s="235"/>
      <c r="AV609" s="232"/>
      <c r="AY609" s="235"/>
      <c r="BA609" s="235"/>
      <c r="BC609" s="232"/>
    </row>
    <row r="610" spans="41:55" x14ac:dyDescent="0.25">
      <c r="AO610" s="231"/>
      <c r="AR610" s="235"/>
      <c r="AT610" s="235"/>
      <c r="AV610" s="232"/>
      <c r="AY610" s="235"/>
      <c r="BA610" s="235"/>
      <c r="BC610" s="232"/>
    </row>
    <row r="611" spans="41:55" x14ac:dyDescent="0.25">
      <c r="AO611" s="231"/>
      <c r="AR611" s="235"/>
      <c r="AT611" s="235"/>
      <c r="AV611" s="232"/>
      <c r="AY611" s="235"/>
      <c r="BA611" s="235"/>
      <c r="BC611" s="232"/>
    </row>
    <row r="612" spans="41:55" x14ac:dyDescent="0.25">
      <c r="AO612" s="231"/>
      <c r="AR612" s="235"/>
      <c r="AT612" s="235"/>
      <c r="AV612" s="232"/>
      <c r="AY612" s="235"/>
      <c r="BA612" s="235"/>
      <c r="BC612" s="232"/>
    </row>
    <row r="613" spans="41:55" x14ac:dyDescent="0.25">
      <c r="AO613" s="231"/>
      <c r="AR613" s="235"/>
      <c r="AT613" s="235"/>
      <c r="AV613" s="232"/>
      <c r="AY613" s="235"/>
      <c r="BA613" s="235"/>
      <c r="BC613" s="232"/>
    </row>
    <row r="614" spans="41:55" x14ac:dyDescent="0.25">
      <c r="AO614" s="231"/>
      <c r="AR614" s="235"/>
      <c r="AT614" s="235"/>
      <c r="AV614" s="232"/>
      <c r="AY614" s="235"/>
      <c r="BA614" s="235"/>
      <c r="BC614" s="232"/>
    </row>
    <row r="615" spans="41:55" x14ac:dyDescent="0.25">
      <c r="AO615" s="231"/>
      <c r="AR615" s="235"/>
      <c r="AT615" s="235"/>
      <c r="AV615" s="232"/>
      <c r="AY615" s="235"/>
      <c r="BA615" s="235"/>
      <c r="BC615" s="232"/>
    </row>
    <row r="616" spans="41:55" x14ac:dyDescent="0.25">
      <c r="AO616" s="231"/>
      <c r="AR616" s="235"/>
      <c r="AT616" s="235"/>
      <c r="AV616" s="232"/>
      <c r="AY616" s="235"/>
      <c r="BA616" s="235"/>
      <c r="BC616" s="232"/>
    </row>
    <row r="617" spans="41:55" x14ac:dyDescent="0.25">
      <c r="AO617" s="231"/>
      <c r="AR617" s="235"/>
      <c r="AT617" s="235"/>
      <c r="AV617" s="232"/>
      <c r="AY617" s="235"/>
      <c r="BA617" s="235"/>
      <c r="BC617" s="232"/>
    </row>
    <row r="618" spans="41:55" x14ac:dyDescent="0.25">
      <c r="AO618" s="231"/>
      <c r="AR618" s="235"/>
      <c r="AT618" s="235"/>
      <c r="AV618" s="232"/>
      <c r="AY618" s="235"/>
      <c r="BA618" s="235"/>
      <c r="BC618" s="232"/>
    </row>
    <row r="619" spans="41:55" x14ac:dyDescent="0.25">
      <c r="AO619" s="231"/>
      <c r="AR619" s="235"/>
      <c r="AT619" s="235"/>
      <c r="AV619" s="232"/>
      <c r="AY619" s="235"/>
      <c r="BA619" s="235"/>
      <c r="BC619" s="232"/>
    </row>
    <row r="620" spans="41:55" x14ac:dyDescent="0.25">
      <c r="AO620" s="231"/>
      <c r="AR620" s="235"/>
      <c r="AT620" s="235"/>
      <c r="AV620" s="232"/>
      <c r="AY620" s="235"/>
      <c r="BA620" s="235"/>
      <c r="BC620" s="232"/>
    </row>
    <row r="621" spans="41:55" x14ac:dyDescent="0.25">
      <c r="AO621" s="231"/>
      <c r="AR621" s="235"/>
      <c r="AT621" s="235"/>
      <c r="AV621" s="232"/>
      <c r="AY621" s="235"/>
      <c r="BA621" s="235"/>
      <c r="BC621" s="232"/>
    </row>
    <row r="622" spans="41:55" x14ac:dyDescent="0.25">
      <c r="AO622" s="231"/>
      <c r="AR622" s="235"/>
      <c r="AT622" s="235"/>
      <c r="AV622" s="232"/>
      <c r="AY622" s="235"/>
      <c r="BA622" s="235"/>
      <c r="BC622" s="232"/>
    </row>
    <row r="623" spans="41:55" x14ac:dyDescent="0.25">
      <c r="AO623" s="231"/>
      <c r="AR623" s="235"/>
      <c r="AT623" s="235"/>
      <c r="AV623" s="232"/>
      <c r="AY623" s="235"/>
      <c r="BA623" s="235"/>
      <c r="BC623" s="232"/>
    </row>
    <row r="624" spans="41:55" x14ac:dyDescent="0.25">
      <c r="AO624" s="231"/>
      <c r="AR624" s="235"/>
      <c r="AT624" s="235"/>
      <c r="AV624" s="232"/>
      <c r="AY624" s="235"/>
      <c r="BA624" s="235"/>
      <c r="BC624" s="232"/>
    </row>
    <row r="625" spans="41:55" x14ac:dyDescent="0.25">
      <c r="AO625" s="231"/>
      <c r="AR625" s="235"/>
      <c r="AT625" s="235"/>
      <c r="AV625" s="232"/>
      <c r="AY625" s="235"/>
      <c r="BA625" s="235"/>
      <c r="BC625" s="232"/>
    </row>
    <row r="626" spans="41:55" x14ac:dyDescent="0.25">
      <c r="AO626" s="231"/>
      <c r="AR626" s="235"/>
      <c r="AT626" s="235"/>
      <c r="AV626" s="232"/>
      <c r="AY626" s="235"/>
      <c r="BA626" s="235"/>
      <c r="BC626" s="232"/>
    </row>
    <row r="627" spans="41:55" x14ac:dyDescent="0.25">
      <c r="AO627" s="231"/>
      <c r="AR627" s="235"/>
      <c r="AT627" s="235"/>
      <c r="AV627" s="232"/>
      <c r="AY627" s="235"/>
      <c r="BA627" s="235"/>
      <c r="BC627" s="232"/>
    </row>
    <row r="628" spans="41:55" x14ac:dyDescent="0.25">
      <c r="AO628" s="231"/>
      <c r="AR628" s="235"/>
      <c r="AT628" s="235"/>
      <c r="AV628" s="232"/>
      <c r="AY628" s="235"/>
      <c r="BA628" s="235"/>
      <c r="BC628" s="232"/>
    </row>
    <row r="629" spans="41:55" x14ac:dyDescent="0.25">
      <c r="AO629" s="231"/>
      <c r="AR629" s="235"/>
      <c r="AT629" s="235"/>
      <c r="AV629" s="232"/>
      <c r="AY629" s="235"/>
      <c r="BA629" s="235"/>
      <c r="BC629" s="232"/>
    </row>
    <row r="630" spans="41:55" x14ac:dyDescent="0.25">
      <c r="AO630" s="231"/>
      <c r="AR630" s="235"/>
      <c r="AT630" s="235"/>
      <c r="AV630" s="232"/>
      <c r="AY630" s="235"/>
      <c r="BA630" s="235"/>
      <c r="BC630" s="232"/>
    </row>
    <row r="631" spans="41:55" x14ac:dyDescent="0.25">
      <c r="AO631" s="231"/>
      <c r="AR631" s="235"/>
      <c r="AT631" s="235"/>
      <c r="AV631" s="232"/>
      <c r="AY631" s="235"/>
      <c r="BA631" s="235"/>
      <c r="BC631" s="232"/>
    </row>
    <row r="632" spans="41:55" x14ac:dyDescent="0.25">
      <c r="AO632" s="231"/>
      <c r="AR632" s="235"/>
      <c r="AT632" s="235"/>
      <c r="AV632" s="232"/>
      <c r="AY632" s="235"/>
      <c r="BA632" s="235"/>
      <c r="BC632" s="232"/>
    </row>
    <row r="633" spans="41:55" x14ac:dyDescent="0.25">
      <c r="AO633" s="231"/>
      <c r="AR633" s="235"/>
      <c r="AT633" s="235"/>
      <c r="AV633" s="232"/>
      <c r="AY633" s="235"/>
      <c r="BA633" s="235"/>
      <c r="BC633" s="232"/>
    </row>
    <row r="634" spans="41:55" x14ac:dyDescent="0.25">
      <c r="AO634" s="231"/>
      <c r="AR634" s="235"/>
      <c r="AT634" s="235"/>
      <c r="AV634" s="232"/>
      <c r="AY634" s="235"/>
      <c r="BA634" s="235"/>
      <c r="BC634" s="232"/>
    </row>
    <row r="635" spans="41:55" x14ac:dyDescent="0.25">
      <c r="AO635" s="231"/>
      <c r="AR635" s="235"/>
      <c r="AT635" s="235"/>
      <c r="AV635" s="232"/>
      <c r="AY635" s="235"/>
      <c r="BA635" s="235"/>
      <c r="BC635" s="232"/>
    </row>
    <row r="636" spans="41:55" x14ac:dyDescent="0.25">
      <c r="AO636" s="231"/>
      <c r="AR636" s="235"/>
      <c r="AT636" s="235"/>
      <c r="AV636" s="232"/>
      <c r="AY636" s="235"/>
      <c r="BA636" s="235"/>
      <c r="BC636" s="232"/>
    </row>
    <row r="637" spans="41:55" x14ac:dyDescent="0.25">
      <c r="AO637" s="231"/>
      <c r="AR637" s="235"/>
      <c r="AT637" s="235"/>
      <c r="AV637" s="232"/>
      <c r="AY637" s="235"/>
      <c r="BA637" s="235"/>
      <c r="BC637" s="232"/>
    </row>
    <row r="638" spans="41:55" x14ac:dyDescent="0.25">
      <c r="AO638" s="231"/>
      <c r="AR638" s="235"/>
      <c r="AT638" s="235"/>
      <c r="AV638" s="232"/>
      <c r="AY638" s="235"/>
      <c r="BA638" s="235"/>
      <c r="BC638" s="232"/>
    </row>
    <row r="639" spans="41:55" x14ac:dyDescent="0.25">
      <c r="AO639" s="231"/>
      <c r="AR639" s="235"/>
      <c r="AT639" s="235"/>
      <c r="AV639" s="232"/>
      <c r="AY639" s="235"/>
      <c r="BA639" s="235"/>
      <c r="BC639" s="232"/>
    </row>
    <row r="640" spans="41:55" x14ac:dyDescent="0.25">
      <c r="AO640" s="231"/>
      <c r="AR640" s="235"/>
      <c r="AT640" s="235"/>
      <c r="AV640" s="232"/>
      <c r="AY640" s="235"/>
      <c r="BA640" s="235"/>
      <c r="BC640" s="232"/>
    </row>
    <row r="641" spans="41:55" x14ac:dyDescent="0.25">
      <c r="AO641" s="231"/>
      <c r="AR641" s="235"/>
      <c r="AT641" s="235"/>
      <c r="AV641" s="232"/>
      <c r="AY641" s="235"/>
      <c r="BA641" s="235"/>
      <c r="BC641" s="232"/>
    </row>
    <row r="642" spans="41:55" x14ac:dyDescent="0.25">
      <c r="AO642" s="231"/>
      <c r="AR642" s="235"/>
      <c r="AT642" s="235"/>
      <c r="AV642" s="232"/>
      <c r="AY642" s="235"/>
      <c r="BA642" s="235"/>
      <c r="BC642" s="232"/>
    </row>
    <row r="643" spans="41:55" x14ac:dyDescent="0.25">
      <c r="AO643" s="231"/>
      <c r="AR643" s="235"/>
      <c r="AT643" s="235"/>
      <c r="AV643" s="232"/>
      <c r="AY643" s="235"/>
      <c r="BA643" s="235"/>
      <c r="BC643" s="232"/>
    </row>
    <row r="644" spans="41:55" x14ac:dyDescent="0.25">
      <c r="AO644" s="231"/>
      <c r="AR644" s="235"/>
      <c r="AT644" s="235"/>
      <c r="AV644" s="232"/>
      <c r="AY644" s="235"/>
      <c r="BA644" s="235"/>
      <c r="BC644" s="232"/>
    </row>
    <row r="645" spans="41:55" x14ac:dyDescent="0.25">
      <c r="AO645" s="231"/>
      <c r="AR645" s="235"/>
      <c r="AT645" s="235"/>
      <c r="AV645" s="232"/>
      <c r="AY645" s="235"/>
      <c r="BA645" s="235"/>
      <c r="BC645" s="232"/>
    </row>
    <row r="646" spans="41:55" x14ac:dyDescent="0.25">
      <c r="AO646" s="231"/>
      <c r="AR646" s="235"/>
      <c r="AT646" s="235"/>
      <c r="AV646" s="232"/>
      <c r="AY646" s="235"/>
      <c r="BA646" s="235"/>
      <c r="BC646" s="232"/>
    </row>
    <row r="647" spans="41:55" x14ac:dyDescent="0.25">
      <c r="AO647" s="231"/>
      <c r="AR647" s="235"/>
      <c r="AT647" s="235"/>
      <c r="AV647" s="232"/>
      <c r="AY647" s="235"/>
      <c r="BA647" s="235"/>
      <c r="BC647" s="232"/>
    </row>
    <row r="648" spans="41:55" x14ac:dyDescent="0.25">
      <c r="AO648" s="231"/>
      <c r="AR648" s="235"/>
      <c r="AT648" s="235"/>
      <c r="AV648" s="232"/>
      <c r="AY648" s="235"/>
      <c r="BA648" s="235"/>
      <c r="BC648" s="232"/>
    </row>
    <row r="649" spans="41:55" x14ac:dyDescent="0.25">
      <c r="AO649" s="231"/>
      <c r="AR649" s="235"/>
      <c r="AT649" s="235"/>
      <c r="AV649" s="232"/>
      <c r="AY649" s="235"/>
      <c r="BA649" s="235"/>
      <c r="BC649" s="232"/>
    </row>
    <row r="650" spans="41:55" x14ac:dyDescent="0.25">
      <c r="AO650" s="231"/>
      <c r="AR650" s="235"/>
      <c r="AT650" s="235"/>
      <c r="AV650" s="232"/>
      <c r="AY650" s="235"/>
      <c r="BA650" s="235"/>
      <c r="BC650" s="232"/>
    </row>
    <row r="651" spans="41:55" x14ac:dyDescent="0.25">
      <c r="AO651" s="231"/>
      <c r="AR651" s="235"/>
      <c r="AT651" s="235"/>
      <c r="AV651" s="232"/>
      <c r="AY651" s="235"/>
      <c r="BA651" s="235"/>
      <c r="BC651" s="232"/>
    </row>
    <row r="652" spans="41:55" x14ac:dyDescent="0.25">
      <c r="AO652" s="231"/>
      <c r="AR652" s="235"/>
      <c r="AT652" s="235"/>
      <c r="AV652" s="232"/>
      <c r="AY652" s="235"/>
      <c r="BA652" s="235"/>
      <c r="BC652" s="232"/>
    </row>
    <row r="653" spans="41:55" x14ac:dyDescent="0.25">
      <c r="AO653" s="231"/>
      <c r="AR653" s="235"/>
      <c r="AT653" s="235"/>
      <c r="AV653" s="232"/>
      <c r="AY653" s="235"/>
      <c r="BA653" s="235"/>
      <c r="BC653" s="232"/>
    </row>
    <row r="654" spans="41:55" x14ac:dyDescent="0.25">
      <c r="AO654" s="231"/>
      <c r="AR654" s="235"/>
      <c r="AT654" s="235"/>
      <c r="AV654" s="232"/>
      <c r="AY654" s="235"/>
      <c r="BA654" s="235"/>
      <c r="BC654" s="232"/>
    </row>
    <row r="655" spans="41:55" x14ac:dyDescent="0.25">
      <c r="AO655" s="231"/>
      <c r="AR655" s="235"/>
      <c r="AT655" s="235"/>
      <c r="AV655" s="232"/>
      <c r="AY655" s="235"/>
      <c r="BA655" s="235"/>
      <c r="BC655" s="232"/>
    </row>
    <row r="656" spans="41:55" x14ac:dyDescent="0.25">
      <c r="AO656" s="231"/>
      <c r="AR656" s="235"/>
      <c r="AT656" s="235"/>
      <c r="AV656" s="232"/>
      <c r="AY656" s="235"/>
      <c r="BA656" s="235"/>
      <c r="BC656" s="232"/>
    </row>
    <row r="657" spans="41:55" x14ac:dyDescent="0.25">
      <c r="AO657" s="231"/>
      <c r="AR657" s="235"/>
      <c r="AT657" s="235"/>
      <c r="AV657" s="232"/>
      <c r="AY657" s="235"/>
      <c r="BA657" s="235"/>
      <c r="BC657" s="232"/>
    </row>
    <row r="658" spans="41:55" x14ac:dyDescent="0.25">
      <c r="AO658" s="231"/>
      <c r="AR658" s="235"/>
      <c r="AT658" s="235"/>
      <c r="AV658" s="232"/>
      <c r="AY658" s="235"/>
      <c r="BA658" s="235"/>
      <c r="BC658" s="232"/>
    </row>
    <row r="659" spans="41:55" x14ac:dyDescent="0.25">
      <c r="AO659" s="231"/>
      <c r="AR659" s="235"/>
      <c r="AT659" s="235"/>
      <c r="AV659" s="232"/>
      <c r="AY659" s="235"/>
      <c r="BA659" s="235"/>
      <c r="BC659" s="232"/>
    </row>
    <row r="660" spans="41:55" x14ac:dyDescent="0.25">
      <c r="AO660" s="231"/>
      <c r="AR660" s="235"/>
      <c r="AT660" s="235"/>
      <c r="AV660" s="232"/>
      <c r="AY660" s="235"/>
      <c r="BA660" s="235"/>
      <c r="BC660" s="232"/>
    </row>
    <row r="661" spans="41:55" x14ac:dyDescent="0.25">
      <c r="AO661" s="231"/>
      <c r="AR661" s="235"/>
      <c r="AT661" s="235"/>
      <c r="AV661" s="232"/>
      <c r="AY661" s="235"/>
      <c r="BA661" s="235"/>
      <c r="BC661" s="232"/>
    </row>
    <row r="662" spans="41:55" x14ac:dyDescent="0.25">
      <c r="AO662" s="231"/>
      <c r="AR662" s="235"/>
      <c r="AT662" s="235"/>
      <c r="AV662" s="232"/>
      <c r="AY662" s="235"/>
      <c r="BA662" s="235"/>
      <c r="BC662" s="232"/>
    </row>
    <row r="663" spans="41:55" x14ac:dyDescent="0.25">
      <c r="AO663" s="231"/>
      <c r="AR663" s="235"/>
      <c r="AT663" s="235"/>
      <c r="AV663" s="232"/>
      <c r="AY663" s="235"/>
      <c r="BA663" s="235"/>
      <c r="BC663" s="232"/>
    </row>
    <row r="664" spans="41:55" x14ac:dyDescent="0.25">
      <c r="AO664" s="231"/>
      <c r="AR664" s="235"/>
      <c r="AT664" s="235"/>
      <c r="AV664" s="232"/>
      <c r="AY664" s="235"/>
      <c r="BA664" s="235"/>
      <c r="BC664" s="232"/>
    </row>
    <row r="665" spans="41:55" x14ac:dyDescent="0.25">
      <c r="AO665" s="231"/>
      <c r="AR665" s="235"/>
      <c r="AT665" s="235"/>
      <c r="AV665" s="232"/>
      <c r="AY665" s="235"/>
      <c r="BA665" s="235"/>
      <c r="BC665" s="232"/>
    </row>
    <row r="666" spans="41:55" x14ac:dyDescent="0.25">
      <c r="AO666" s="231"/>
      <c r="AR666" s="235"/>
      <c r="AT666" s="235"/>
      <c r="AV666" s="232"/>
      <c r="AY666" s="235"/>
      <c r="BA666" s="235"/>
      <c r="BC666" s="232"/>
    </row>
    <row r="667" spans="41:55" x14ac:dyDescent="0.25">
      <c r="AO667" s="231"/>
      <c r="AR667" s="235"/>
      <c r="AT667" s="235"/>
      <c r="AV667" s="232"/>
      <c r="AY667" s="235"/>
      <c r="BA667" s="235"/>
      <c r="BC667" s="232"/>
    </row>
    <row r="668" spans="41:55" x14ac:dyDescent="0.25">
      <c r="AO668" s="231"/>
      <c r="AR668" s="235"/>
      <c r="AT668" s="235"/>
      <c r="AV668" s="232"/>
      <c r="AY668" s="235"/>
      <c r="BA668" s="235"/>
      <c r="BC668" s="232"/>
    </row>
    <row r="669" spans="41:55" x14ac:dyDescent="0.25">
      <c r="AO669" s="231"/>
      <c r="AR669" s="235"/>
      <c r="AT669" s="235"/>
      <c r="AV669" s="232"/>
      <c r="AY669" s="235"/>
      <c r="BA669" s="235"/>
      <c r="BC669" s="232"/>
    </row>
    <row r="670" spans="41:55" x14ac:dyDescent="0.25">
      <c r="AO670" s="231"/>
      <c r="AR670" s="235"/>
      <c r="AT670" s="235"/>
      <c r="AV670" s="232"/>
      <c r="AY670" s="235"/>
      <c r="BA670" s="235"/>
      <c r="BC670" s="232"/>
    </row>
    <row r="671" spans="41:55" x14ac:dyDescent="0.25">
      <c r="AO671" s="231"/>
      <c r="AR671" s="235"/>
      <c r="AT671" s="235"/>
      <c r="AV671" s="232"/>
      <c r="AY671" s="235"/>
      <c r="BA671" s="235"/>
      <c r="BC671" s="232"/>
    </row>
    <row r="672" spans="41:55" x14ac:dyDescent="0.25">
      <c r="AO672" s="231"/>
      <c r="AR672" s="235"/>
      <c r="AT672" s="235"/>
      <c r="AV672" s="232"/>
      <c r="AY672" s="235"/>
      <c r="BA672" s="235"/>
      <c r="BC672" s="232"/>
    </row>
    <row r="673" spans="41:55" x14ac:dyDescent="0.25">
      <c r="AO673" s="231"/>
      <c r="AR673" s="235"/>
      <c r="AT673" s="235"/>
      <c r="AV673" s="232"/>
      <c r="AY673" s="235"/>
      <c r="BA673" s="235"/>
      <c r="BC673" s="232"/>
    </row>
    <row r="674" spans="41:55" x14ac:dyDescent="0.25">
      <c r="AO674" s="231"/>
      <c r="AR674" s="235"/>
      <c r="AT674" s="235"/>
      <c r="AV674" s="232"/>
      <c r="AY674" s="235"/>
      <c r="BA674" s="235"/>
      <c r="BC674" s="232"/>
    </row>
    <row r="675" spans="41:55" x14ac:dyDescent="0.25">
      <c r="AO675" s="231"/>
      <c r="AR675" s="235"/>
      <c r="AT675" s="235"/>
      <c r="AV675" s="232"/>
      <c r="AY675" s="235"/>
      <c r="BA675" s="235"/>
      <c r="BC675" s="232"/>
    </row>
    <row r="676" spans="41:55" x14ac:dyDescent="0.25">
      <c r="AO676" s="231"/>
      <c r="AR676" s="235"/>
      <c r="AT676" s="235"/>
      <c r="AV676" s="232"/>
      <c r="AY676" s="235"/>
      <c r="BA676" s="235"/>
      <c r="BC676" s="232"/>
    </row>
    <row r="677" spans="41:55" x14ac:dyDescent="0.25">
      <c r="AO677" s="231"/>
      <c r="AR677" s="235"/>
      <c r="AT677" s="235"/>
      <c r="AV677" s="232"/>
      <c r="AY677" s="235"/>
      <c r="BA677" s="235"/>
      <c r="BC677" s="232"/>
    </row>
    <row r="678" spans="41:55" x14ac:dyDescent="0.25">
      <c r="AO678" s="231"/>
      <c r="AR678" s="235"/>
      <c r="AT678" s="235"/>
      <c r="AV678" s="232"/>
      <c r="AY678" s="235"/>
      <c r="BA678" s="235"/>
      <c r="BC678" s="232"/>
    </row>
    <row r="679" spans="41:55" x14ac:dyDescent="0.25">
      <c r="AO679" s="231"/>
      <c r="AR679" s="235"/>
      <c r="AT679" s="235"/>
      <c r="AV679" s="232"/>
      <c r="AY679" s="235"/>
      <c r="BA679" s="235"/>
      <c r="BC679" s="232"/>
    </row>
    <row r="680" spans="41:55" x14ac:dyDescent="0.25">
      <c r="AO680" s="231"/>
      <c r="AR680" s="235"/>
      <c r="AT680" s="235"/>
      <c r="AV680" s="232"/>
      <c r="AY680" s="235"/>
      <c r="BA680" s="235"/>
      <c r="BC680" s="232"/>
    </row>
    <row r="681" spans="41:55" x14ac:dyDescent="0.25">
      <c r="AO681" s="231"/>
      <c r="AR681" s="235"/>
      <c r="AT681" s="235"/>
      <c r="AV681" s="232"/>
      <c r="AY681" s="235"/>
      <c r="BA681" s="235"/>
      <c r="BC681" s="232"/>
    </row>
    <row r="682" spans="41:55" x14ac:dyDescent="0.25">
      <c r="AO682" s="231"/>
      <c r="AR682" s="235"/>
      <c r="AT682" s="235"/>
      <c r="AV682" s="232"/>
      <c r="AY682" s="235"/>
      <c r="BA682" s="235"/>
      <c r="BC682" s="232"/>
    </row>
    <row r="683" spans="41:55" x14ac:dyDescent="0.25">
      <c r="AO683" s="231"/>
      <c r="AR683" s="235"/>
      <c r="AT683" s="235"/>
      <c r="AV683" s="232"/>
      <c r="AY683" s="235"/>
      <c r="BA683" s="235"/>
      <c r="BC683" s="232"/>
    </row>
    <row r="684" spans="41:55" x14ac:dyDescent="0.25">
      <c r="AO684" s="231"/>
      <c r="AR684" s="235"/>
      <c r="AT684" s="235"/>
      <c r="AV684" s="232"/>
      <c r="AY684" s="235"/>
      <c r="BA684" s="235"/>
      <c r="BC684" s="232"/>
    </row>
    <row r="685" spans="41:55" x14ac:dyDescent="0.25">
      <c r="AO685" s="231"/>
      <c r="AR685" s="235"/>
      <c r="AT685" s="235"/>
      <c r="AV685" s="232"/>
      <c r="AY685" s="235"/>
      <c r="BA685" s="235"/>
      <c r="BC685" s="232"/>
    </row>
    <row r="686" spans="41:55" x14ac:dyDescent="0.25">
      <c r="AO686" s="231"/>
      <c r="AR686" s="235"/>
      <c r="AT686" s="235"/>
      <c r="AV686" s="232"/>
      <c r="AY686" s="235"/>
      <c r="BA686" s="235"/>
      <c r="BC686" s="232"/>
    </row>
    <row r="687" spans="41:55" x14ac:dyDescent="0.25">
      <c r="AO687" s="231"/>
      <c r="AR687" s="235"/>
      <c r="AT687" s="235"/>
      <c r="AV687" s="232"/>
      <c r="AY687" s="235"/>
      <c r="BA687" s="235"/>
      <c r="BC687" s="232"/>
    </row>
    <row r="688" spans="41:55" x14ac:dyDescent="0.25">
      <c r="AO688" s="231"/>
      <c r="AR688" s="235"/>
      <c r="AT688" s="235"/>
      <c r="AV688" s="232"/>
      <c r="AY688" s="235"/>
      <c r="BA688" s="235"/>
      <c r="BC688" s="232"/>
    </row>
    <row r="689" spans="41:55" x14ac:dyDescent="0.25">
      <c r="AO689" s="231"/>
      <c r="AR689" s="235"/>
      <c r="AT689" s="235"/>
      <c r="AV689" s="232"/>
      <c r="AY689" s="235"/>
      <c r="BA689" s="235"/>
      <c r="BC689" s="232"/>
    </row>
    <row r="690" spans="41:55" x14ac:dyDescent="0.25">
      <c r="AO690" s="231"/>
      <c r="AR690" s="235"/>
      <c r="AT690" s="235"/>
      <c r="AV690" s="232"/>
      <c r="AY690" s="235"/>
      <c r="BA690" s="235"/>
      <c r="BC690" s="232"/>
    </row>
    <row r="691" spans="41:55" x14ac:dyDescent="0.25">
      <c r="AO691" s="231"/>
      <c r="AR691" s="235"/>
      <c r="AT691" s="235"/>
      <c r="AV691" s="232"/>
      <c r="AY691" s="235"/>
      <c r="BA691" s="235"/>
      <c r="BC691" s="232"/>
    </row>
    <row r="692" spans="41:55" x14ac:dyDescent="0.25">
      <c r="AO692" s="231"/>
      <c r="AR692" s="235"/>
      <c r="AT692" s="235"/>
      <c r="AV692" s="232"/>
      <c r="AY692" s="235"/>
      <c r="BA692" s="235"/>
      <c r="BC692" s="232"/>
    </row>
    <row r="693" spans="41:55" x14ac:dyDescent="0.25">
      <c r="AO693" s="231"/>
      <c r="AR693" s="235"/>
      <c r="AT693" s="235"/>
      <c r="AV693" s="232"/>
      <c r="AY693" s="235"/>
      <c r="BA693" s="235"/>
      <c r="BC693" s="232"/>
    </row>
    <row r="694" spans="41:55" x14ac:dyDescent="0.25">
      <c r="AO694" s="231"/>
      <c r="AR694" s="235"/>
      <c r="AT694" s="235"/>
      <c r="AV694" s="232"/>
      <c r="AY694" s="235"/>
      <c r="BA694" s="235"/>
      <c r="BC694" s="232"/>
    </row>
    <row r="695" spans="41:55" x14ac:dyDescent="0.25">
      <c r="AO695" s="231"/>
      <c r="AR695" s="235"/>
      <c r="AT695" s="235"/>
      <c r="AV695" s="232"/>
      <c r="AY695" s="235"/>
      <c r="BA695" s="235"/>
      <c r="BC695" s="232"/>
    </row>
    <row r="696" spans="41:55" x14ac:dyDescent="0.25">
      <c r="AO696" s="231"/>
      <c r="AR696" s="235"/>
      <c r="AT696" s="235"/>
      <c r="AV696" s="232"/>
      <c r="AY696" s="235"/>
      <c r="BA696" s="235"/>
      <c r="BC696" s="232"/>
    </row>
    <row r="697" spans="41:55" x14ac:dyDescent="0.25">
      <c r="AO697" s="231"/>
      <c r="AR697" s="235"/>
      <c r="AT697" s="235"/>
      <c r="AV697" s="232"/>
      <c r="AY697" s="235"/>
      <c r="BA697" s="235"/>
      <c r="BC697" s="232"/>
    </row>
    <row r="698" spans="41:55" x14ac:dyDescent="0.25">
      <c r="AO698" s="231"/>
      <c r="AR698" s="235"/>
      <c r="AT698" s="235"/>
      <c r="AV698" s="232"/>
      <c r="AY698" s="235"/>
      <c r="BA698" s="235"/>
      <c r="BC698" s="232"/>
    </row>
    <row r="699" spans="41:55" x14ac:dyDescent="0.25">
      <c r="AO699" s="231"/>
      <c r="AR699" s="235"/>
      <c r="AT699" s="235"/>
      <c r="AV699" s="232"/>
      <c r="AY699" s="235"/>
      <c r="BA699" s="235"/>
      <c r="BC699" s="232"/>
    </row>
    <row r="700" spans="41:55" x14ac:dyDescent="0.25">
      <c r="AO700" s="231"/>
      <c r="AR700" s="235"/>
      <c r="AT700" s="235"/>
      <c r="AV700" s="232"/>
      <c r="AY700" s="235"/>
      <c r="BA700" s="235"/>
      <c r="BC700" s="232"/>
    </row>
    <row r="701" spans="41:55" x14ac:dyDescent="0.25">
      <c r="AO701" s="231"/>
      <c r="AR701" s="235"/>
      <c r="AT701" s="235"/>
      <c r="AV701" s="232"/>
      <c r="AY701" s="235"/>
      <c r="BA701" s="235"/>
      <c r="BC701" s="232"/>
    </row>
    <row r="702" spans="41:55" x14ac:dyDescent="0.25">
      <c r="AO702" s="231"/>
      <c r="AR702" s="235"/>
      <c r="AT702" s="235"/>
      <c r="AV702" s="232"/>
      <c r="AY702" s="235"/>
      <c r="BA702" s="235"/>
      <c r="BC702" s="232"/>
    </row>
    <row r="703" spans="41:55" x14ac:dyDescent="0.25">
      <c r="AO703" s="231"/>
      <c r="AR703" s="235"/>
      <c r="AT703" s="235"/>
      <c r="AV703" s="232"/>
      <c r="AY703" s="235"/>
      <c r="BA703" s="235"/>
      <c r="BC703" s="232"/>
    </row>
    <row r="704" spans="41:55" x14ac:dyDescent="0.25">
      <c r="AO704" s="231"/>
      <c r="AR704" s="235"/>
      <c r="AT704" s="235"/>
      <c r="AV704" s="232"/>
      <c r="AY704" s="235"/>
      <c r="BA704" s="235"/>
      <c r="BC704" s="232"/>
    </row>
    <row r="705" spans="41:55" x14ac:dyDescent="0.25">
      <c r="AO705" s="231"/>
      <c r="AR705" s="235"/>
      <c r="AT705" s="235"/>
      <c r="AV705" s="232"/>
      <c r="AY705" s="235"/>
      <c r="BA705" s="235"/>
      <c r="BC705" s="232"/>
    </row>
    <row r="706" spans="41:55" x14ac:dyDescent="0.25">
      <c r="AO706" s="231"/>
      <c r="AR706" s="235"/>
      <c r="AT706" s="235"/>
      <c r="AV706" s="232"/>
      <c r="AY706" s="235"/>
      <c r="BA706" s="235"/>
      <c r="BC706" s="232"/>
    </row>
    <row r="707" spans="41:55" x14ac:dyDescent="0.25">
      <c r="AO707" s="231"/>
      <c r="AR707" s="235"/>
      <c r="AT707" s="235"/>
      <c r="AV707" s="232"/>
      <c r="AY707" s="235"/>
      <c r="BA707" s="235"/>
      <c r="BC707" s="232"/>
    </row>
    <row r="708" spans="41:55" x14ac:dyDescent="0.25">
      <c r="AO708" s="231"/>
      <c r="AR708" s="235"/>
      <c r="AT708" s="235"/>
      <c r="AV708" s="232"/>
      <c r="AY708" s="235"/>
      <c r="BA708" s="235"/>
      <c r="BC708" s="232"/>
    </row>
    <row r="709" spans="41:55" x14ac:dyDescent="0.25">
      <c r="AO709" s="231"/>
      <c r="AR709" s="235"/>
      <c r="AT709" s="235"/>
      <c r="AV709" s="232"/>
      <c r="AY709" s="235"/>
      <c r="BA709" s="235"/>
      <c r="BC709" s="232"/>
    </row>
    <row r="710" spans="41:55" x14ac:dyDescent="0.25">
      <c r="AO710" s="231"/>
      <c r="AR710" s="235"/>
      <c r="AT710" s="235"/>
      <c r="AV710" s="232"/>
      <c r="AY710" s="235"/>
      <c r="BA710" s="235"/>
      <c r="BC710" s="232"/>
    </row>
    <row r="711" spans="41:55" x14ac:dyDescent="0.25">
      <c r="AO711" s="231"/>
      <c r="AR711" s="235"/>
      <c r="AT711" s="235"/>
      <c r="AV711" s="232"/>
      <c r="AY711" s="235"/>
      <c r="BA711" s="235"/>
      <c r="BC711" s="232"/>
    </row>
    <row r="712" spans="41:55" x14ac:dyDescent="0.25">
      <c r="AO712" s="231"/>
      <c r="AR712" s="235"/>
      <c r="AT712" s="235"/>
      <c r="AV712" s="232"/>
      <c r="AY712" s="235"/>
      <c r="BA712" s="235"/>
      <c r="BC712" s="232"/>
    </row>
    <row r="713" spans="41:55" x14ac:dyDescent="0.25">
      <c r="AO713" s="231"/>
      <c r="AR713" s="235"/>
      <c r="AT713" s="235"/>
      <c r="AV713" s="232"/>
      <c r="AY713" s="235"/>
      <c r="BA713" s="235"/>
      <c r="BC713" s="232"/>
    </row>
    <row r="714" spans="41:55" x14ac:dyDescent="0.25">
      <c r="AO714" s="231"/>
      <c r="AR714" s="235"/>
      <c r="AT714" s="235"/>
      <c r="AV714" s="232"/>
      <c r="AY714" s="235"/>
      <c r="BA714" s="235"/>
      <c r="BC714" s="232"/>
    </row>
    <row r="715" spans="41:55" x14ac:dyDescent="0.25">
      <c r="AO715" s="231"/>
      <c r="AR715" s="235"/>
      <c r="AT715" s="235"/>
      <c r="AV715" s="232"/>
      <c r="AY715" s="235"/>
      <c r="BA715" s="235"/>
      <c r="BC715" s="232"/>
    </row>
    <row r="716" spans="41:55" x14ac:dyDescent="0.25">
      <c r="AO716" s="231"/>
      <c r="AR716" s="235"/>
      <c r="AT716" s="235"/>
      <c r="AV716" s="232"/>
      <c r="AY716" s="235"/>
      <c r="BA716" s="235"/>
      <c r="BC716" s="232"/>
    </row>
    <row r="717" spans="41:55" x14ac:dyDescent="0.25">
      <c r="AO717" s="231"/>
      <c r="AR717" s="235"/>
      <c r="AT717" s="235"/>
      <c r="AV717" s="232"/>
      <c r="AY717" s="235"/>
      <c r="BA717" s="235"/>
      <c r="BC717" s="232"/>
    </row>
    <row r="718" spans="41:55" x14ac:dyDescent="0.25">
      <c r="AO718" s="231"/>
      <c r="AR718" s="235"/>
      <c r="AT718" s="235"/>
      <c r="AV718" s="232"/>
      <c r="AY718" s="235"/>
      <c r="BA718" s="235"/>
      <c r="BC718" s="232"/>
    </row>
    <row r="719" spans="41:55" x14ac:dyDescent="0.25">
      <c r="AO719" s="231"/>
      <c r="AR719" s="235"/>
      <c r="AT719" s="235"/>
      <c r="AV719" s="232"/>
      <c r="AY719" s="235"/>
      <c r="BA719" s="235"/>
      <c r="BC719" s="232"/>
    </row>
    <row r="720" spans="41:55" x14ac:dyDescent="0.25">
      <c r="AO720" s="231"/>
      <c r="AR720" s="235"/>
      <c r="AT720" s="235"/>
      <c r="AV720" s="232"/>
      <c r="AY720" s="235"/>
      <c r="BA720" s="235"/>
      <c r="BC720" s="232"/>
    </row>
    <row r="721" spans="41:55" x14ac:dyDescent="0.25">
      <c r="AO721" s="231"/>
      <c r="AR721" s="235"/>
      <c r="AT721" s="235"/>
      <c r="AV721" s="232"/>
      <c r="AY721" s="235"/>
      <c r="BA721" s="235"/>
      <c r="BC721" s="232"/>
    </row>
    <row r="722" spans="41:55" x14ac:dyDescent="0.25">
      <c r="AO722" s="231"/>
      <c r="AR722" s="235"/>
      <c r="AT722" s="235"/>
      <c r="AV722" s="232"/>
      <c r="AY722" s="235"/>
      <c r="BA722" s="235"/>
      <c r="BC722" s="232"/>
    </row>
    <row r="723" spans="41:55" x14ac:dyDescent="0.25">
      <c r="AO723" s="231"/>
      <c r="AR723" s="235"/>
      <c r="AT723" s="235"/>
      <c r="AV723" s="232"/>
      <c r="AY723" s="235"/>
      <c r="BA723" s="235"/>
      <c r="BC723" s="232"/>
    </row>
    <row r="724" spans="41:55" x14ac:dyDescent="0.25">
      <c r="AO724" s="231"/>
      <c r="AR724" s="235"/>
      <c r="AT724" s="235"/>
      <c r="AV724" s="232"/>
      <c r="AY724" s="235"/>
      <c r="BA724" s="235"/>
      <c r="BC724" s="232"/>
    </row>
    <row r="725" spans="41:55" x14ac:dyDescent="0.25">
      <c r="AO725" s="231"/>
      <c r="AR725" s="235"/>
      <c r="AT725" s="235"/>
      <c r="AV725" s="232"/>
      <c r="AY725" s="235"/>
      <c r="BA725" s="235"/>
      <c r="BC725" s="232"/>
    </row>
    <row r="726" spans="41:55" x14ac:dyDescent="0.25">
      <c r="AO726" s="231"/>
      <c r="AR726" s="235"/>
      <c r="AT726" s="235"/>
      <c r="AV726" s="232"/>
      <c r="AY726" s="235"/>
      <c r="BA726" s="235"/>
      <c r="BC726" s="232"/>
    </row>
    <row r="727" spans="41:55" x14ac:dyDescent="0.25">
      <c r="AO727" s="231"/>
      <c r="AR727" s="235"/>
      <c r="AT727" s="235"/>
      <c r="AV727" s="232"/>
      <c r="AY727" s="235"/>
      <c r="BA727" s="235"/>
      <c r="BC727" s="232"/>
    </row>
    <row r="728" spans="41:55" x14ac:dyDescent="0.25">
      <c r="AO728" s="231"/>
      <c r="AR728" s="235"/>
      <c r="AT728" s="235"/>
      <c r="AV728" s="232"/>
      <c r="AY728" s="235"/>
      <c r="BA728" s="235"/>
      <c r="BC728" s="232"/>
    </row>
    <row r="729" spans="41:55" x14ac:dyDescent="0.25">
      <c r="AO729" s="231"/>
      <c r="AR729" s="235"/>
      <c r="AT729" s="235"/>
      <c r="AV729" s="232"/>
      <c r="AY729" s="235"/>
      <c r="BA729" s="235"/>
      <c r="BC729" s="232"/>
    </row>
    <row r="730" spans="41:55" x14ac:dyDescent="0.25">
      <c r="AO730" s="231"/>
      <c r="AR730" s="235"/>
      <c r="AT730" s="235"/>
      <c r="AV730" s="232"/>
      <c r="AY730" s="235"/>
      <c r="BA730" s="235"/>
      <c r="BC730" s="232"/>
    </row>
    <row r="731" spans="41:55" x14ac:dyDescent="0.25">
      <c r="AO731" s="231"/>
      <c r="AR731" s="235"/>
      <c r="AT731" s="235"/>
      <c r="AV731" s="232"/>
      <c r="AY731" s="235"/>
      <c r="BA731" s="235"/>
      <c r="BC731" s="232"/>
    </row>
    <row r="732" spans="41:55" x14ac:dyDescent="0.25">
      <c r="AO732" s="231"/>
      <c r="AR732" s="235"/>
      <c r="AT732" s="235"/>
      <c r="AV732" s="232"/>
      <c r="AY732" s="235"/>
      <c r="BA732" s="235"/>
      <c r="BC732" s="232"/>
    </row>
    <row r="733" spans="41:55" x14ac:dyDescent="0.25">
      <c r="AO733" s="231"/>
      <c r="AR733" s="235"/>
      <c r="AT733" s="235"/>
      <c r="AV733" s="232"/>
      <c r="AY733" s="235"/>
      <c r="BA733" s="235"/>
      <c r="BC733" s="232"/>
    </row>
    <row r="734" spans="41:55" x14ac:dyDescent="0.25">
      <c r="AO734" s="231"/>
      <c r="AR734" s="235"/>
      <c r="AT734" s="235"/>
      <c r="AV734" s="232"/>
      <c r="AY734" s="235"/>
      <c r="BA734" s="235"/>
      <c r="BC734" s="232"/>
    </row>
    <row r="735" spans="41:55" x14ac:dyDescent="0.25">
      <c r="AO735" s="231"/>
      <c r="AR735" s="235"/>
      <c r="AT735" s="235"/>
      <c r="AV735" s="232"/>
      <c r="AY735" s="235"/>
      <c r="BA735" s="235"/>
      <c r="BC735" s="232"/>
    </row>
    <row r="736" spans="41:55" x14ac:dyDescent="0.25">
      <c r="AO736" s="231"/>
      <c r="AR736" s="235"/>
      <c r="AT736" s="235"/>
      <c r="AV736" s="232"/>
      <c r="AY736" s="235"/>
      <c r="BA736" s="235"/>
      <c r="BC736" s="232"/>
    </row>
    <row r="737" spans="41:55" x14ac:dyDescent="0.25">
      <c r="AO737" s="231"/>
      <c r="AR737" s="235"/>
      <c r="AT737" s="235"/>
      <c r="AV737" s="232"/>
      <c r="AY737" s="235"/>
      <c r="BA737" s="235"/>
      <c r="BC737" s="232"/>
    </row>
    <row r="738" spans="41:55" x14ac:dyDescent="0.25">
      <c r="AO738" s="231"/>
      <c r="AR738" s="235"/>
      <c r="AT738" s="235"/>
      <c r="AV738" s="232"/>
      <c r="AY738" s="235"/>
      <c r="BA738" s="235"/>
      <c r="BC738" s="232"/>
    </row>
    <row r="739" spans="41:55" x14ac:dyDescent="0.25">
      <c r="AO739" s="231"/>
      <c r="AR739" s="235"/>
      <c r="AT739" s="235"/>
      <c r="AV739" s="232"/>
      <c r="AY739" s="235"/>
      <c r="BA739" s="235"/>
      <c r="BC739" s="232"/>
    </row>
    <row r="740" spans="41:55" x14ac:dyDescent="0.25">
      <c r="AO740" s="231"/>
      <c r="AR740" s="235"/>
      <c r="AT740" s="235"/>
      <c r="AV740" s="232"/>
      <c r="AY740" s="235"/>
      <c r="BA740" s="235"/>
      <c r="BC740" s="232"/>
    </row>
    <row r="741" spans="41:55" x14ac:dyDescent="0.25">
      <c r="AO741" s="231"/>
      <c r="AR741" s="235"/>
      <c r="AT741" s="235"/>
      <c r="AV741" s="232"/>
      <c r="AY741" s="235"/>
      <c r="BA741" s="235"/>
      <c r="BC741" s="232"/>
    </row>
    <row r="742" spans="41:55" x14ac:dyDescent="0.25">
      <c r="AO742" s="231"/>
      <c r="AR742" s="235"/>
      <c r="AT742" s="235"/>
      <c r="AV742" s="232"/>
      <c r="AY742" s="235"/>
      <c r="BA742" s="235"/>
      <c r="BC742" s="232"/>
    </row>
    <row r="743" spans="41:55" x14ac:dyDescent="0.25">
      <c r="AO743" s="231"/>
      <c r="AR743" s="235"/>
      <c r="AT743" s="235"/>
      <c r="AV743" s="232"/>
      <c r="AY743" s="235"/>
      <c r="BA743" s="235"/>
      <c r="BC743" s="232"/>
    </row>
    <row r="744" spans="41:55" x14ac:dyDescent="0.25">
      <c r="AO744" s="231"/>
      <c r="AR744" s="235"/>
      <c r="AT744" s="235"/>
      <c r="AV744" s="232"/>
      <c r="AY744" s="235"/>
      <c r="BA744" s="235"/>
      <c r="BC744" s="232"/>
    </row>
    <row r="745" spans="41:55" x14ac:dyDescent="0.25">
      <c r="AO745" s="231"/>
      <c r="AR745" s="235"/>
      <c r="AT745" s="235"/>
      <c r="AV745" s="232"/>
      <c r="AY745" s="235"/>
      <c r="BA745" s="235"/>
      <c r="BC745" s="232"/>
    </row>
    <row r="746" spans="41:55" x14ac:dyDescent="0.25">
      <c r="AO746" s="231"/>
      <c r="AR746" s="235"/>
      <c r="AT746" s="235"/>
      <c r="AV746" s="232"/>
      <c r="AY746" s="235"/>
      <c r="BA746" s="235"/>
      <c r="BC746" s="232"/>
    </row>
    <row r="747" spans="41:55" x14ac:dyDescent="0.25">
      <c r="AO747" s="231"/>
      <c r="AR747" s="235"/>
      <c r="AT747" s="235"/>
      <c r="AV747" s="232"/>
      <c r="AY747" s="235"/>
      <c r="BA747" s="235"/>
      <c r="BC747" s="232"/>
    </row>
    <row r="748" spans="41:55" x14ac:dyDescent="0.25">
      <c r="AO748" s="231"/>
      <c r="AR748" s="235"/>
      <c r="AT748" s="235"/>
      <c r="AV748" s="232"/>
      <c r="AY748" s="235"/>
      <c r="BA748" s="235"/>
      <c r="BC748" s="232"/>
    </row>
    <row r="749" spans="41:55" x14ac:dyDescent="0.25">
      <c r="AO749" s="231"/>
      <c r="AR749" s="235"/>
      <c r="AT749" s="235"/>
      <c r="AV749" s="232"/>
      <c r="AY749" s="235"/>
      <c r="BA749" s="235"/>
      <c r="BC749" s="232"/>
    </row>
    <row r="750" spans="41:55" x14ac:dyDescent="0.25">
      <c r="AO750" s="231"/>
      <c r="AR750" s="235"/>
      <c r="AT750" s="235"/>
      <c r="AV750" s="232"/>
      <c r="AY750" s="235"/>
      <c r="BA750" s="235"/>
      <c r="BC750" s="232"/>
    </row>
    <row r="751" spans="41:55" x14ac:dyDescent="0.25">
      <c r="AO751" s="231"/>
      <c r="AR751" s="235"/>
      <c r="AT751" s="235"/>
      <c r="AV751" s="232"/>
      <c r="AY751" s="235"/>
      <c r="BA751" s="235"/>
      <c r="BC751" s="232"/>
    </row>
    <row r="752" spans="41:55" x14ac:dyDescent="0.25">
      <c r="AO752" s="231"/>
      <c r="AR752" s="235"/>
      <c r="AT752" s="235"/>
      <c r="AV752" s="232"/>
      <c r="AY752" s="235"/>
      <c r="BA752" s="235"/>
      <c r="BC752" s="232"/>
    </row>
    <row r="753" spans="41:55" x14ac:dyDescent="0.25">
      <c r="AO753" s="231"/>
      <c r="AR753" s="235"/>
      <c r="AT753" s="235"/>
      <c r="AV753" s="232"/>
      <c r="AY753" s="235"/>
      <c r="BA753" s="235"/>
      <c r="BC753" s="232"/>
    </row>
    <row r="754" spans="41:55" x14ac:dyDescent="0.25">
      <c r="AO754" s="231"/>
      <c r="AR754" s="235"/>
      <c r="AT754" s="235"/>
      <c r="AV754" s="232"/>
      <c r="AY754" s="235"/>
      <c r="BA754" s="235"/>
      <c r="BC754" s="232"/>
    </row>
    <row r="755" spans="41:55" x14ac:dyDescent="0.25">
      <c r="AO755" s="231"/>
      <c r="AR755" s="235"/>
      <c r="AT755" s="235"/>
      <c r="AV755" s="232"/>
      <c r="AY755" s="235"/>
      <c r="BA755" s="235"/>
      <c r="BC755" s="232"/>
    </row>
    <row r="756" spans="41:55" x14ac:dyDescent="0.25">
      <c r="AO756" s="231"/>
      <c r="AR756" s="235"/>
      <c r="AT756" s="235"/>
      <c r="AV756" s="232"/>
      <c r="AY756" s="235"/>
      <c r="BA756" s="235"/>
      <c r="BC756" s="232"/>
    </row>
    <row r="757" spans="41:55" x14ac:dyDescent="0.25">
      <c r="AO757" s="231"/>
      <c r="AR757" s="235"/>
      <c r="AT757" s="235"/>
      <c r="AV757" s="232"/>
      <c r="AY757" s="235"/>
      <c r="BA757" s="235"/>
      <c r="BC757" s="232"/>
    </row>
    <row r="758" spans="41:55" x14ac:dyDescent="0.25">
      <c r="AO758" s="231"/>
      <c r="AR758" s="235"/>
      <c r="AT758" s="235"/>
      <c r="AV758" s="232"/>
      <c r="AY758" s="235"/>
      <c r="BA758" s="235"/>
      <c r="BC758" s="232"/>
    </row>
    <row r="759" spans="41:55" x14ac:dyDescent="0.25">
      <c r="AO759" s="231"/>
      <c r="AR759" s="235"/>
      <c r="AT759" s="235"/>
      <c r="AV759" s="232"/>
      <c r="AY759" s="235"/>
      <c r="BA759" s="235"/>
      <c r="BC759" s="232"/>
    </row>
    <row r="760" spans="41:55" x14ac:dyDescent="0.25">
      <c r="AO760" s="231"/>
      <c r="AR760" s="235"/>
      <c r="AT760" s="235"/>
      <c r="AV760" s="232"/>
      <c r="AY760" s="235"/>
      <c r="BA760" s="235"/>
      <c r="BC760" s="232"/>
    </row>
    <row r="761" spans="41:55" x14ac:dyDescent="0.25">
      <c r="AO761" s="231"/>
      <c r="AR761" s="235"/>
      <c r="AT761" s="235"/>
      <c r="AV761" s="232"/>
      <c r="AY761" s="235"/>
      <c r="BA761" s="235"/>
      <c r="BC761" s="232"/>
    </row>
    <row r="762" spans="41:55" x14ac:dyDescent="0.25">
      <c r="AO762" s="231"/>
      <c r="AR762" s="235"/>
      <c r="AT762" s="235"/>
      <c r="AV762" s="232"/>
      <c r="AY762" s="235"/>
      <c r="BA762" s="235"/>
      <c r="BC762" s="232"/>
    </row>
    <row r="763" spans="41:55" x14ac:dyDescent="0.25">
      <c r="AO763" s="231"/>
      <c r="AR763" s="235"/>
      <c r="AT763" s="235"/>
      <c r="AV763" s="232"/>
      <c r="AY763" s="235"/>
      <c r="BA763" s="235"/>
      <c r="BC763" s="232"/>
    </row>
    <row r="764" spans="41:55" x14ac:dyDescent="0.25">
      <c r="AO764" s="231"/>
      <c r="AR764" s="235"/>
      <c r="AT764" s="235"/>
      <c r="AV764" s="232"/>
      <c r="AY764" s="235"/>
      <c r="BA764" s="235"/>
      <c r="BC764" s="232"/>
    </row>
    <row r="765" spans="41:55" x14ac:dyDescent="0.25">
      <c r="AO765" s="231"/>
      <c r="AR765" s="235"/>
      <c r="AT765" s="235"/>
      <c r="AV765" s="232"/>
      <c r="AY765" s="235"/>
      <c r="BA765" s="235"/>
      <c r="BC765" s="232"/>
    </row>
    <row r="766" spans="41:55" x14ac:dyDescent="0.25">
      <c r="AO766" s="231"/>
      <c r="AR766" s="235"/>
      <c r="AT766" s="235"/>
      <c r="AV766" s="232"/>
      <c r="AY766" s="235"/>
      <c r="BA766" s="235"/>
      <c r="BC766" s="232"/>
    </row>
    <row r="767" spans="41:55" x14ac:dyDescent="0.25">
      <c r="AO767" s="231"/>
      <c r="AR767" s="235"/>
      <c r="AT767" s="235"/>
      <c r="AV767" s="232"/>
      <c r="AY767" s="235"/>
      <c r="BA767" s="235"/>
      <c r="BC767" s="232"/>
    </row>
    <row r="768" spans="41:55" x14ac:dyDescent="0.25">
      <c r="AO768" s="231"/>
      <c r="AR768" s="235"/>
      <c r="AT768" s="235"/>
      <c r="AV768" s="232"/>
      <c r="AY768" s="235"/>
      <c r="BA768" s="235"/>
      <c r="BC768" s="232"/>
    </row>
    <row r="769" spans="41:55" x14ac:dyDescent="0.25">
      <c r="AO769" s="231"/>
      <c r="AR769" s="235"/>
      <c r="AT769" s="235"/>
      <c r="AV769" s="232"/>
      <c r="AY769" s="235"/>
      <c r="BA769" s="235"/>
      <c r="BC769" s="232"/>
    </row>
    <row r="770" spans="41:55" x14ac:dyDescent="0.25">
      <c r="AO770" s="231"/>
      <c r="AR770" s="235"/>
      <c r="AT770" s="235"/>
      <c r="AV770" s="232"/>
      <c r="AY770" s="235"/>
      <c r="BA770" s="235"/>
      <c r="BC770" s="232"/>
    </row>
    <row r="771" spans="41:55" x14ac:dyDescent="0.25">
      <c r="AO771" s="231"/>
      <c r="AR771" s="235"/>
      <c r="AT771" s="235"/>
      <c r="AV771" s="232"/>
      <c r="AY771" s="235"/>
      <c r="BA771" s="235"/>
      <c r="BC771" s="232"/>
    </row>
    <row r="772" spans="41:55" x14ac:dyDescent="0.25">
      <c r="AO772" s="231"/>
      <c r="AR772" s="235"/>
      <c r="AT772" s="235"/>
      <c r="AV772" s="232"/>
      <c r="AY772" s="235"/>
      <c r="BA772" s="235"/>
      <c r="BC772" s="232"/>
    </row>
    <row r="773" spans="41:55" x14ac:dyDescent="0.25">
      <c r="AO773" s="231"/>
      <c r="AR773" s="235"/>
      <c r="AT773" s="235"/>
      <c r="AV773" s="232"/>
      <c r="AY773" s="235"/>
      <c r="BA773" s="235"/>
      <c r="BC773" s="232"/>
    </row>
    <row r="774" spans="41:55" x14ac:dyDescent="0.25">
      <c r="AO774" s="231"/>
      <c r="AR774" s="235"/>
      <c r="AT774" s="235"/>
      <c r="AV774" s="232"/>
      <c r="AY774" s="235"/>
      <c r="BA774" s="235"/>
      <c r="BC774" s="232"/>
    </row>
    <row r="775" spans="41:55" x14ac:dyDescent="0.25">
      <c r="AO775" s="231"/>
      <c r="AR775" s="235"/>
      <c r="AT775" s="235"/>
      <c r="AV775" s="232"/>
      <c r="AY775" s="235"/>
      <c r="BA775" s="235"/>
      <c r="BC775" s="232"/>
    </row>
    <row r="776" spans="41:55" x14ac:dyDescent="0.25">
      <c r="AO776" s="231"/>
      <c r="AR776" s="235"/>
      <c r="AT776" s="235"/>
      <c r="AV776" s="232"/>
      <c r="AY776" s="235"/>
      <c r="BA776" s="235"/>
      <c r="BC776" s="232"/>
    </row>
    <row r="777" spans="41:55" x14ac:dyDescent="0.25">
      <c r="AO777" s="231"/>
      <c r="AR777" s="235"/>
      <c r="AT777" s="235"/>
      <c r="AV777" s="232"/>
      <c r="AY777" s="235"/>
      <c r="BA777" s="235"/>
      <c r="BC777" s="232"/>
    </row>
    <row r="778" spans="41:55" x14ac:dyDescent="0.25">
      <c r="AO778" s="231"/>
      <c r="AR778" s="235"/>
      <c r="AT778" s="235"/>
      <c r="AV778" s="232"/>
      <c r="AY778" s="235"/>
      <c r="BA778" s="235"/>
      <c r="BC778" s="232"/>
    </row>
    <row r="779" spans="41:55" x14ac:dyDescent="0.25">
      <c r="AO779" s="231"/>
      <c r="AR779" s="235"/>
      <c r="AT779" s="235"/>
      <c r="AV779" s="232"/>
      <c r="AY779" s="235"/>
      <c r="BA779" s="235"/>
      <c r="BC779" s="232"/>
    </row>
    <row r="780" spans="41:55" x14ac:dyDescent="0.25">
      <c r="AO780" s="231"/>
      <c r="AR780" s="235"/>
      <c r="AT780" s="235"/>
      <c r="AV780" s="232"/>
      <c r="AY780" s="235"/>
      <c r="BA780" s="235"/>
      <c r="BC780" s="232"/>
    </row>
    <row r="781" spans="41:55" x14ac:dyDescent="0.25">
      <c r="AO781" s="231"/>
      <c r="AR781" s="235"/>
      <c r="AT781" s="235"/>
      <c r="AV781" s="232"/>
      <c r="AY781" s="235"/>
      <c r="BA781" s="235"/>
      <c r="BC781" s="232"/>
    </row>
    <row r="782" spans="41:55" x14ac:dyDescent="0.25">
      <c r="AO782" s="231"/>
      <c r="AR782" s="235"/>
      <c r="AT782" s="235"/>
      <c r="AV782" s="232"/>
      <c r="AY782" s="235"/>
      <c r="BA782" s="235"/>
      <c r="BC782" s="232"/>
    </row>
    <row r="783" spans="41:55" x14ac:dyDescent="0.25">
      <c r="AO783" s="231"/>
      <c r="AR783" s="235"/>
      <c r="AT783" s="235"/>
      <c r="AV783" s="232"/>
      <c r="AY783" s="235"/>
      <c r="BA783" s="235"/>
      <c r="BC783" s="232"/>
    </row>
    <row r="784" spans="41:55" x14ac:dyDescent="0.25">
      <c r="AO784" s="231"/>
      <c r="AR784" s="235"/>
      <c r="AT784" s="235"/>
      <c r="AV784" s="232"/>
      <c r="AY784" s="235"/>
      <c r="BA784" s="235"/>
      <c r="BC784" s="232"/>
    </row>
    <row r="785" spans="41:55" x14ac:dyDescent="0.25">
      <c r="AO785" s="231"/>
      <c r="AR785" s="235"/>
      <c r="AT785" s="235"/>
      <c r="AV785" s="232"/>
      <c r="AY785" s="235"/>
      <c r="BA785" s="235"/>
      <c r="BC785" s="232"/>
    </row>
    <row r="786" spans="41:55" x14ac:dyDescent="0.25">
      <c r="AO786" s="231"/>
      <c r="AR786" s="235"/>
      <c r="AT786" s="235"/>
      <c r="AV786" s="232"/>
      <c r="AY786" s="235"/>
      <c r="BA786" s="235"/>
      <c r="BC786" s="232"/>
    </row>
    <row r="787" spans="41:55" x14ac:dyDescent="0.25">
      <c r="AO787" s="231"/>
      <c r="AR787" s="235"/>
      <c r="AT787" s="235"/>
      <c r="AV787" s="232"/>
      <c r="AY787" s="235"/>
      <c r="BA787" s="235"/>
      <c r="BC787" s="232"/>
    </row>
    <row r="788" spans="41:55" x14ac:dyDescent="0.25">
      <c r="AO788" s="231"/>
      <c r="AR788" s="235"/>
      <c r="AT788" s="235"/>
      <c r="AV788" s="232"/>
      <c r="AY788" s="235"/>
      <c r="BA788" s="235"/>
      <c r="BC788" s="232"/>
    </row>
    <row r="789" spans="41:55" x14ac:dyDescent="0.25">
      <c r="AO789" s="231"/>
      <c r="AR789" s="235"/>
      <c r="AT789" s="235"/>
      <c r="AV789" s="232"/>
      <c r="AY789" s="235"/>
      <c r="BA789" s="235"/>
      <c r="BC789" s="232"/>
    </row>
    <row r="790" spans="41:55" x14ac:dyDescent="0.25">
      <c r="AO790" s="231"/>
      <c r="AR790" s="235"/>
      <c r="AT790" s="235"/>
      <c r="AV790" s="232"/>
      <c r="AY790" s="235"/>
      <c r="BA790" s="235"/>
      <c r="BC790" s="232"/>
    </row>
    <row r="791" spans="41:55" x14ac:dyDescent="0.25">
      <c r="AO791" s="231"/>
      <c r="AR791" s="235"/>
      <c r="AT791" s="235"/>
      <c r="AV791" s="232"/>
      <c r="AY791" s="235"/>
      <c r="BA791" s="235"/>
      <c r="BC791" s="232"/>
    </row>
    <row r="792" spans="41:55" x14ac:dyDescent="0.25">
      <c r="AO792" s="231"/>
      <c r="AR792" s="235"/>
      <c r="AT792" s="235"/>
      <c r="AV792" s="232"/>
      <c r="AY792" s="235"/>
      <c r="BA792" s="235"/>
      <c r="BC792" s="232"/>
    </row>
    <row r="793" spans="41:55" x14ac:dyDescent="0.25">
      <c r="AO793" s="231"/>
      <c r="AR793" s="235"/>
      <c r="AT793" s="235"/>
      <c r="AV793" s="232"/>
      <c r="AY793" s="235"/>
      <c r="BA793" s="235"/>
      <c r="BC793" s="232"/>
    </row>
    <row r="794" spans="41:55" x14ac:dyDescent="0.25">
      <c r="AO794" s="231"/>
      <c r="AR794" s="235"/>
      <c r="AT794" s="235"/>
      <c r="AV794" s="232"/>
      <c r="AY794" s="235"/>
      <c r="BA794" s="235"/>
      <c r="BC794" s="232"/>
    </row>
    <row r="795" spans="41:55" x14ac:dyDescent="0.25">
      <c r="AO795" s="231"/>
      <c r="AR795" s="235"/>
      <c r="AT795" s="235"/>
      <c r="AV795" s="232"/>
      <c r="AY795" s="235"/>
      <c r="BA795" s="235"/>
      <c r="BC795" s="232"/>
    </row>
    <row r="796" spans="41:55" x14ac:dyDescent="0.25">
      <c r="AO796" s="231"/>
      <c r="AR796" s="235"/>
      <c r="AT796" s="235"/>
      <c r="AV796" s="232"/>
      <c r="AY796" s="235"/>
      <c r="BA796" s="235"/>
      <c r="BC796" s="232"/>
    </row>
    <row r="797" spans="41:55" x14ac:dyDescent="0.25">
      <c r="AO797" s="231"/>
      <c r="AR797" s="235"/>
      <c r="AT797" s="235"/>
      <c r="AV797" s="232"/>
      <c r="AY797" s="235"/>
      <c r="BA797" s="235"/>
      <c r="BC797" s="232"/>
    </row>
    <row r="798" spans="41:55" x14ac:dyDescent="0.25">
      <c r="AO798" s="231"/>
      <c r="AR798" s="235"/>
      <c r="AT798" s="235"/>
      <c r="AV798" s="232"/>
      <c r="AY798" s="235"/>
      <c r="BA798" s="235"/>
      <c r="BC798" s="232"/>
    </row>
    <row r="799" spans="41:55" x14ac:dyDescent="0.25">
      <c r="AO799" s="231"/>
      <c r="AR799" s="235"/>
      <c r="AT799" s="235"/>
      <c r="AV799" s="232"/>
      <c r="AY799" s="235"/>
      <c r="BA799" s="235"/>
      <c r="BC799" s="232"/>
    </row>
    <row r="800" spans="41:55" x14ac:dyDescent="0.25">
      <c r="AO800" s="231"/>
      <c r="AR800" s="235"/>
      <c r="AT800" s="235"/>
      <c r="AV800" s="232"/>
      <c r="AY800" s="235"/>
      <c r="BA800" s="235"/>
      <c r="BC800" s="232"/>
    </row>
    <row r="801" spans="41:55" x14ac:dyDescent="0.25">
      <c r="AO801" s="231"/>
      <c r="AR801" s="235"/>
      <c r="AT801" s="235"/>
      <c r="AV801" s="232"/>
      <c r="AY801" s="235"/>
      <c r="BA801" s="235"/>
      <c r="BC801" s="232"/>
    </row>
    <row r="802" spans="41:55" x14ac:dyDescent="0.25">
      <c r="AO802" s="231"/>
      <c r="AR802" s="235"/>
      <c r="AT802" s="235"/>
      <c r="AV802" s="232"/>
      <c r="AY802" s="235"/>
      <c r="BA802" s="235"/>
      <c r="BC802" s="232"/>
    </row>
    <row r="803" spans="41:55" x14ac:dyDescent="0.25">
      <c r="AO803" s="231"/>
      <c r="AR803" s="235"/>
      <c r="AT803" s="235"/>
      <c r="AV803" s="232"/>
      <c r="AY803" s="235"/>
      <c r="BA803" s="235"/>
      <c r="BC803" s="232"/>
    </row>
    <row r="804" spans="41:55" x14ac:dyDescent="0.25">
      <c r="AO804" s="231"/>
      <c r="AR804" s="235"/>
      <c r="AT804" s="235"/>
      <c r="AV804" s="232"/>
      <c r="AY804" s="235"/>
      <c r="BA804" s="235"/>
      <c r="BC804" s="232"/>
    </row>
    <row r="805" spans="41:55" x14ac:dyDescent="0.25">
      <c r="AO805" s="231"/>
      <c r="AR805" s="235"/>
      <c r="AT805" s="235"/>
      <c r="AV805" s="232"/>
      <c r="AY805" s="235"/>
      <c r="BA805" s="235"/>
      <c r="BC805" s="232"/>
    </row>
    <row r="806" spans="41:55" x14ac:dyDescent="0.25">
      <c r="AO806" s="231"/>
      <c r="AR806" s="235"/>
      <c r="AT806" s="235"/>
      <c r="AV806" s="232"/>
      <c r="AY806" s="235"/>
      <c r="BA806" s="235"/>
      <c r="BC806" s="232"/>
    </row>
    <row r="807" spans="41:55" x14ac:dyDescent="0.25">
      <c r="AO807" s="231"/>
      <c r="AR807" s="235"/>
      <c r="AT807" s="235"/>
      <c r="AV807" s="232"/>
      <c r="AY807" s="235"/>
      <c r="BA807" s="235"/>
      <c r="BC807" s="232"/>
    </row>
    <row r="808" spans="41:55" x14ac:dyDescent="0.25">
      <c r="AO808" s="231"/>
      <c r="AR808" s="235"/>
      <c r="AT808" s="235"/>
      <c r="AV808" s="232"/>
      <c r="AY808" s="235"/>
      <c r="BA808" s="235"/>
      <c r="BC808" s="232"/>
    </row>
    <row r="809" spans="41:55" x14ac:dyDescent="0.25">
      <c r="AO809" s="231"/>
      <c r="AR809" s="235"/>
      <c r="AT809" s="235"/>
      <c r="AV809" s="232"/>
      <c r="AY809" s="235"/>
      <c r="BA809" s="235"/>
      <c r="BC809" s="232"/>
    </row>
    <row r="810" spans="41:55" x14ac:dyDescent="0.25">
      <c r="AO810" s="231"/>
      <c r="AR810" s="235"/>
      <c r="AT810" s="235"/>
      <c r="AV810" s="232"/>
      <c r="AY810" s="235"/>
      <c r="BA810" s="235"/>
      <c r="BC810" s="232"/>
    </row>
    <row r="811" spans="41:55" x14ac:dyDescent="0.25">
      <c r="AO811" s="231"/>
      <c r="AR811" s="235"/>
      <c r="AT811" s="235"/>
      <c r="AV811" s="232"/>
      <c r="AY811" s="235"/>
      <c r="BA811" s="235"/>
      <c r="BC811" s="232"/>
    </row>
    <row r="812" spans="41:55" x14ac:dyDescent="0.25">
      <c r="AO812" s="231"/>
      <c r="AR812" s="235"/>
      <c r="AT812" s="235"/>
      <c r="AV812" s="232"/>
      <c r="AY812" s="235"/>
      <c r="BA812" s="235"/>
      <c r="BC812" s="232"/>
    </row>
    <row r="813" spans="41:55" x14ac:dyDescent="0.25">
      <c r="AO813" s="231"/>
      <c r="AR813" s="235"/>
      <c r="AT813" s="235"/>
      <c r="AV813" s="232"/>
      <c r="AY813" s="235"/>
      <c r="BA813" s="235"/>
      <c r="BC813" s="232"/>
    </row>
    <row r="814" spans="41:55" x14ac:dyDescent="0.25">
      <c r="AO814" s="231"/>
      <c r="AR814" s="235"/>
      <c r="AT814" s="235"/>
      <c r="AV814" s="232"/>
      <c r="AY814" s="235"/>
      <c r="BA814" s="235"/>
      <c r="BC814" s="232"/>
    </row>
    <row r="815" spans="41:55" x14ac:dyDescent="0.25">
      <c r="AO815" s="231"/>
      <c r="AR815" s="235"/>
      <c r="AT815" s="235"/>
      <c r="AV815" s="232"/>
      <c r="AY815" s="235"/>
      <c r="BA815" s="235"/>
      <c r="BC815" s="232"/>
    </row>
    <row r="816" spans="41:55" x14ac:dyDescent="0.25">
      <c r="AO816" s="231"/>
      <c r="AR816" s="235"/>
      <c r="AT816" s="235"/>
      <c r="AV816" s="232"/>
      <c r="AY816" s="235"/>
      <c r="BA816" s="235"/>
      <c r="BC816" s="232"/>
    </row>
    <row r="817" spans="41:55" x14ac:dyDescent="0.25">
      <c r="AO817" s="231"/>
      <c r="AR817" s="235"/>
      <c r="AT817" s="235"/>
      <c r="AV817" s="232"/>
      <c r="AY817" s="235"/>
      <c r="BA817" s="235"/>
      <c r="BC817" s="232"/>
    </row>
    <row r="818" spans="41:55" x14ac:dyDescent="0.25">
      <c r="AO818" s="231"/>
      <c r="AR818" s="235"/>
      <c r="AT818" s="235"/>
      <c r="AV818" s="232"/>
      <c r="AY818" s="235"/>
      <c r="BA818" s="235"/>
      <c r="BC818" s="232"/>
    </row>
    <row r="819" spans="41:55" x14ac:dyDescent="0.25">
      <c r="AO819" s="231"/>
      <c r="AR819" s="235"/>
      <c r="AT819" s="235"/>
      <c r="AV819" s="232"/>
      <c r="AY819" s="235"/>
      <c r="BA819" s="235"/>
      <c r="BC819" s="232"/>
    </row>
    <row r="820" spans="41:55" x14ac:dyDescent="0.25">
      <c r="AO820" s="231"/>
      <c r="AR820" s="235"/>
      <c r="AT820" s="235"/>
      <c r="AV820" s="232"/>
      <c r="AY820" s="235"/>
      <c r="BA820" s="235"/>
      <c r="BC820" s="232"/>
    </row>
    <row r="821" spans="41:55" x14ac:dyDescent="0.25">
      <c r="AO821" s="231"/>
      <c r="AR821" s="235"/>
      <c r="AT821" s="235"/>
      <c r="AV821" s="232"/>
      <c r="AY821" s="235"/>
      <c r="BA821" s="235"/>
      <c r="BC821" s="232"/>
    </row>
    <row r="822" spans="41:55" x14ac:dyDescent="0.25">
      <c r="AO822" s="231"/>
      <c r="AR822" s="235"/>
      <c r="AT822" s="235"/>
      <c r="AV822" s="232"/>
      <c r="AY822" s="235"/>
      <c r="BA822" s="235"/>
      <c r="BC822" s="232"/>
    </row>
    <row r="823" spans="41:55" x14ac:dyDescent="0.25">
      <c r="AO823" s="231"/>
      <c r="AR823" s="235"/>
      <c r="AT823" s="235"/>
      <c r="AV823" s="232"/>
      <c r="AY823" s="235"/>
      <c r="BA823" s="235"/>
      <c r="BC823" s="232"/>
    </row>
    <row r="824" spans="41:55" x14ac:dyDescent="0.25">
      <c r="AO824" s="231"/>
      <c r="AR824" s="235"/>
      <c r="AT824" s="235"/>
      <c r="AV824" s="232"/>
      <c r="AY824" s="235"/>
      <c r="BA824" s="235"/>
      <c r="BC824" s="232"/>
    </row>
    <row r="825" spans="41:55" x14ac:dyDescent="0.25">
      <c r="AO825" s="231"/>
      <c r="AR825" s="235"/>
      <c r="AT825" s="235"/>
      <c r="AV825" s="232"/>
      <c r="AY825" s="235"/>
      <c r="BA825" s="235"/>
      <c r="BC825" s="232"/>
    </row>
    <row r="826" spans="41:55" x14ac:dyDescent="0.25">
      <c r="AO826" s="231"/>
      <c r="AR826" s="235"/>
      <c r="AT826" s="235"/>
      <c r="AV826" s="232"/>
      <c r="AY826" s="235"/>
      <c r="BA826" s="235"/>
      <c r="BC826" s="232"/>
    </row>
    <row r="827" spans="41:55" x14ac:dyDescent="0.25">
      <c r="AO827" s="231"/>
      <c r="AR827" s="235"/>
      <c r="AT827" s="235"/>
      <c r="AV827" s="232"/>
      <c r="AY827" s="235"/>
      <c r="BA827" s="235"/>
      <c r="BC827" s="232"/>
    </row>
    <row r="828" spans="41:55" x14ac:dyDescent="0.25">
      <c r="AO828" s="231"/>
      <c r="AR828" s="235"/>
      <c r="AT828" s="235"/>
      <c r="AV828" s="232"/>
      <c r="AY828" s="235"/>
      <c r="BA828" s="235"/>
      <c r="BC828" s="232"/>
    </row>
    <row r="829" spans="41:55" x14ac:dyDescent="0.25">
      <c r="AO829" s="231"/>
      <c r="AR829" s="235"/>
      <c r="AT829" s="235"/>
      <c r="AV829" s="232"/>
      <c r="AY829" s="235"/>
      <c r="BA829" s="235"/>
      <c r="BC829" s="232"/>
    </row>
    <row r="830" spans="41:55" x14ac:dyDescent="0.25">
      <c r="AO830" s="231"/>
      <c r="AR830" s="235"/>
      <c r="AT830" s="235"/>
      <c r="AV830" s="232"/>
      <c r="AY830" s="235"/>
      <c r="BA830" s="235"/>
      <c r="BC830" s="232"/>
    </row>
    <row r="831" spans="41:55" x14ac:dyDescent="0.25">
      <c r="AO831" s="231"/>
      <c r="AR831" s="235"/>
      <c r="AT831" s="235"/>
      <c r="AV831" s="232"/>
      <c r="AY831" s="235"/>
      <c r="BA831" s="235"/>
      <c r="BC831" s="232"/>
    </row>
    <row r="832" spans="41:55" x14ac:dyDescent="0.25">
      <c r="AO832" s="231"/>
      <c r="AR832" s="235"/>
      <c r="AT832" s="235"/>
      <c r="AV832" s="232"/>
      <c r="AY832" s="235"/>
      <c r="BA832" s="235"/>
      <c r="BC832" s="232"/>
    </row>
    <row r="833" spans="41:55" x14ac:dyDescent="0.25">
      <c r="AO833" s="231"/>
      <c r="AR833" s="235"/>
      <c r="AT833" s="235"/>
      <c r="AV833" s="232"/>
      <c r="AY833" s="235"/>
      <c r="BA833" s="235"/>
      <c r="BC833" s="232"/>
    </row>
    <row r="834" spans="41:55" x14ac:dyDescent="0.25">
      <c r="AO834" s="231"/>
      <c r="AR834" s="235"/>
      <c r="AT834" s="235"/>
      <c r="AV834" s="232"/>
      <c r="AY834" s="235"/>
      <c r="BA834" s="235"/>
      <c r="BC834" s="232"/>
    </row>
    <row r="835" spans="41:55" x14ac:dyDescent="0.25">
      <c r="AO835" s="231"/>
      <c r="AR835" s="235"/>
      <c r="AT835" s="235"/>
      <c r="AV835" s="232"/>
      <c r="AY835" s="235"/>
      <c r="BA835" s="235"/>
      <c r="BC835" s="232"/>
    </row>
    <row r="836" spans="41:55" x14ac:dyDescent="0.25">
      <c r="AO836" s="231"/>
      <c r="AR836" s="235"/>
      <c r="AT836" s="235"/>
      <c r="AV836" s="232"/>
      <c r="AY836" s="235"/>
      <c r="BA836" s="235"/>
      <c r="BC836" s="232"/>
    </row>
    <row r="837" spans="41:55" x14ac:dyDescent="0.25">
      <c r="AO837" s="231"/>
      <c r="AR837" s="235"/>
      <c r="AT837" s="235"/>
      <c r="AV837" s="232"/>
      <c r="AY837" s="235"/>
      <c r="BA837" s="235"/>
      <c r="BC837" s="232"/>
    </row>
    <row r="838" spans="41:55" x14ac:dyDescent="0.25">
      <c r="AO838" s="231"/>
      <c r="AR838" s="235"/>
      <c r="AT838" s="235"/>
      <c r="AV838" s="232"/>
      <c r="AY838" s="235"/>
      <c r="BA838" s="235"/>
      <c r="BC838" s="232"/>
    </row>
    <row r="839" spans="41:55" x14ac:dyDescent="0.25">
      <c r="AO839" s="231"/>
      <c r="AR839" s="235"/>
      <c r="AT839" s="235"/>
      <c r="AV839" s="232"/>
      <c r="AY839" s="235"/>
      <c r="BA839" s="235"/>
      <c r="BC839" s="232"/>
    </row>
    <row r="840" spans="41:55" x14ac:dyDescent="0.25">
      <c r="AO840" s="231"/>
      <c r="AR840" s="235"/>
      <c r="AT840" s="235"/>
      <c r="AV840" s="232"/>
      <c r="AY840" s="235"/>
      <c r="BA840" s="235"/>
      <c r="BC840" s="232"/>
    </row>
    <row r="841" spans="41:55" x14ac:dyDescent="0.25">
      <c r="AO841" s="231"/>
      <c r="AR841" s="235"/>
      <c r="AT841" s="235"/>
      <c r="AV841" s="232"/>
      <c r="AY841" s="235"/>
      <c r="BA841" s="235"/>
      <c r="BC841" s="232"/>
    </row>
    <row r="842" spans="41:55" x14ac:dyDescent="0.25">
      <c r="AO842" s="231"/>
      <c r="AR842" s="235"/>
      <c r="AT842" s="235"/>
      <c r="AV842" s="232"/>
      <c r="AY842" s="235"/>
      <c r="BA842" s="235"/>
      <c r="BC842" s="232"/>
    </row>
    <row r="843" spans="41:55" x14ac:dyDescent="0.25">
      <c r="AO843" s="231"/>
      <c r="AR843" s="235"/>
      <c r="AT843" s="235"/>
      <c r="AV843" s="232"/>
      <c r="AY843" s="235"/>
      <c r="BA843" s="235"/>
      <c r="BC843" s="232"/>
    </row>
    <row r="844" spans="41:55" x14ac:dyDescent="0.25">
      <c r="AO844" s="231"/>
      <c r="AR844" s="235"/>
      <c r="AT844" s="235"/>
      <c r="AV844" s="232"/>
      <c r="AY844" s="235"/>
      <c r="BA844" s="235"/>
      <c r="BC844" s="232"/>
    </row>
    <row r="845" spans="41:55" x14ac:dyDescent="0.25">
      <c r="AO845" s="231"/>
      <c r="AR845" s="235"/>
      <c r="AT845" s="235"/>
      <c r="AV845" s="232"/>
      <c r="AY845" s="235"/>
      <c r="BA845" s="235"/>
      <c r="BC845" s="232"/>
    </row>
    <row r="846" spans="41:55" x14ac:dyDescent="0.25">
      <c r="AO846" s="231"/>
      <c r="AR846" s="235"/>
      <c r="AT846" s="235"/>
      <c r="AV846" s="232"/>
      <c r="AY846" s="235"/>
      <c r="BA846" s="235"/>
      <c r="BC846" s="232"/>
    </row>
    <row r="847" spans="41:55" x14ac:dyDescent="0.25">
      <c r="AO847" s="231"/>
      <c r="AR847" s="235"/>
      <c r="AT847" s="235"/>
      <c r="AV847" s="232"/>
      <c r="AY847" s="235"/>
      <c r="BA847" s="235"/>
      <c r="BC847" s="232"/>
    </row>
    <row r="848" spans="41:55" x14ac:dyDescent="0.25">
      <c r="AO848" s="231"/>
      <c r="AR848" s="235"/>
      <c r="AT848" s="235"/>
      <c r="AV848" s="232"/>
      <c r="AY848" s="235"/>
      <c r="BA848" s="235"/>
      <c r="BC848" s="232"/>
    </row>
    <row r="849" spans="41:55" x14ac:dyDescent="0.25">
      <c r="AO849" s="231"/>
      <c r="AR849" s="235"/>
      <c r="AT849" s="235"/>
      <c r="AV849" s="232"/>
      <c r="AY849" s="235"/>
      <c r="BA849" s="235"/>
      <c r="BC849" s="232"/>
    </row>
    <row r="850" spans="41:55" x14ac:dyDescent="0.25">
      <c r="AO850" s="231"/>
      <c r="AR850" s="235"/>
      <c r="AT850" s="235"/>
      <c r="AV850" s="232"/>
      <c r="AY850" s="235"/>
      <c r="BA850" s="235"/>
      <c r="BC850" s="232"/>
    </row>
    <row r="851" spans="41:55" x14ac:dyDescent="0.25">
      <c r="AO851" s="231"/>
      <c r="AR851" s="235"/>
      <c r="AT851" s="235"/>
      <c r="AV851" s="232"/>
      <c r="AY851" s="235"/>
      <c r="BA851" s="235"/>
      <c r="BC851" s="232"/>
    </row>
    <row r="852" spans="41:55" x14ac:dyDescent="0.25">
      <c r="AO852" s="231"/>
      <c r="AR852" s="235"/>
      <c r="AT852" s="235"/>
      <c r="AV852" s="232"/>
      <c r="AY852" s="235"/>
      <c r="BA852" s="235"/>
      <c r="BC852" s="232"/>
    </row>
    <row r="853" spans="41:55" x14ac:dyDescent="0.25">
      <c r="AO853" s="231"/>
      <c r="AR853" s="235"/>
      <c r="AT853" s="235"/>
      <c r="AV853" s="232"/>
      <c r="AY853" s="235"/>
      <c r="BA853" s="235"/>
      <c r="BC853" s="232"/>
    </row>
    <row r="854" spans="41:55" x14ac:dyDescent="0.25">
      <c r="AO854" s="231"/>
      <c r="AR854" s="235"/>
      <c r="AT854" s="235"/>
      <c r="AV854" s="232"/>
      <c r="AY854" s="235"/>
      <c r="BA854" s="235"/>
      <c r="BC854" s="232"/>
    </row>
    <row r="855" spans="41:55" x14ac:dyDescent="0.25">
      <c r="AO855" s="231"/>
      <c r="AR855" s="235"/>
      <c r="AT855" s="235"/>
      <c r="AV855" s="232"/>
      <c r="AY855" s="235"/>
      <c r="BA855" s="235"/>
      <c r="BC855" s="232"/>
    </row>
    <row r="856" spans="41:55" x14ac:dyDescent="0.25">
      <c r="AO856" s="231"/>
      <c r="AR856" s="235"/>
      <c r="AT856" s="235"/>
      <c r="AV856" s="232"/>
      <c r="AY856" s="235"/>
      <c r="BA856" s="235"/>
      <c r="BC856" s="232"/>
    </row>
    <row r="857" spans="41:55" x14ac:dyDescent="0.25">
      <c r="AO857" s="231"/>
      <c r="AR857" s="235"/>
      <c r="AT857" s="235"/>
      <c r="AV857" s="232"/>
      <c r="AY857" s="235"/>
      <c r="BA857" s="235"/>
      <c r="BC857" s="232"/>
    </row>
    <row r="858" spans="41:55" x14ac:dyDescent="0.25">
      <c r="AO858" s="231"/>
      <c r="AR858" s="235"/>
      <c r="AT858" s="235"/>
      <c r="AV858" s="232"/>
      <c r="AY858" s="235"/>
      <c r="BA858" s="235"/>
      <c r="BC858" s="232"/>
    </row>
    <row r="859" spans="41:55" x14ac:dyDescent="0.25">
      <c r="AO859" s="231"/>
      <c r="AR859" s="235"/>
      <c r="AT859" s="235"/>
      <c r="AV859" s="232"/>
      <c r="AY859" s="235"/>
      <c r="BA859" s="235"/>
      <c r="BC859" s="232"/>
    </row>
    <row r="860" spans="41:55" x14ac:dyDescent="0.25">
      <c r="AO860" s="231"/>
      <c r="AR860" s="235"/>
      <c r="AT860" s="235"/>
      <c r="AV860" s="232"/>
      <c r="AY860" s="235"/>
      <c r="BA860" s="235"/>
      <c r="BC860" s="232"/>
    </row>
    <row r="861" spans="41:55" x14ac:dyDescent="0.25">
      <c r="AO861" s="231"/>
      <c r="AR861" s="235"/>
      <c r="AT861" s="235"/>
      <c r="AV861" s="232"/>
      <c r="AY861" s="235"/>
      <c r="BA861" s="235"/>
      <c r="BC861" s="232"/>
    </row>
    <row r="862" spans="41:55" x14ac:dyDescent="0.25">
      <c r="AO862" s="231"/>
      <c r="AR862" s="235"/>
      <c r="AT862" s="235"/>
      <c r="AV862" s="232"/>
      <c r="AY862" s="235"/>
      <c r="BA862" s="235"/>
      <c r="BC862" s="232"/>
    </row>
    <row r="863" spans="41:55" x14ac:dyDescent="0.25">
      <c r="AO863" s="231"/>
      <c r="AR863" s="235"/>
      <c r="AT863" s="235"/>
      <c r="AV863" s="232"/>
      <c r="AY863" s="235"/>
      <c r="BA863" s="235"/>
      <c r="BC863" s="232"/>
    </row>
    <row r="864" spans="41:55" x14ac:dyDescent="0.25">
      <c r="AO864" s="231"/>
      <c r="AR864" s="235"/>
      <c r="AT864" s="235"/>
      <c r="AV864" s="232"/>
      <c r="AY864" s="235"/>
      <c r="BA864" s="235"/>
      <c r="BC864" s="232"/>
    </row>
    <row r="865" spans="41:55" x14ac:dyDescent="0.25">
      <c r="AO865" s="231"/>
      <c r="AR865" s="235"/>
      <c r="AT865" s="235"/>
      <c r="AV865" s="232"/>
      <c r="AY865" s="235"/>
      <c r="BA865" s="235"/>
      <c r="BC865" s="232"/>
    </row>
    <row r="866" spans="41:55" x14ac:dyDescent="0.25">
      <c r="AO866" s="231"/>
      <c r="AR866" s="235"/>
      <c r="AT866" s="235"/>
      <c r="AV866" s="232"/>
      <c r="AY866" s="235"/>
      <c r="BA866" s="235"/>
      <c r="BC866" s="232"/>
    </row>
    <row r="867" spans="41:55" x14ac:dyDescent="0.25">
      <c r="AO867" s="231"/>
      <c r="AR867" s="235"/>
      <c r="AT867" s="235"/>
      <c r="AV867" s="232"/>
      <c r="AY867" s="235"/>
      <c r="BA867" s="235"/>
      <c r="BC867" s="232"/>
    </row>
    <row r="868" spans="41:55" x14ac:dyDescent="0.25">
      <c r="AO868" s="231"/>
      <c r="AR868" s="235"/>
      <c r="AT868" s="235"/>
      <c r="AV868" s="232"/>
      <c r="AY868" s="235"/>
      <c r="BA868" s="235"/>
      <c r="BC868" s="232"/>
    </row>
    <row r="869" spans="41:55" x14ac:dyDescent="0.25">
      <c r="AO869" s="231"/>
      <c r="AR869" s="235"/>
      <c r="AT869" s="235"/>
      <c r="AV869" s="232"/>
      <c r="AY869" s="235"/>
      <c r="BA869" s="235"/>
      <c r="BC869" s="232"/>
    </row>
    <row r="870" spans="41:55" x14ac:dyDescent="0.25">
      <c r="AO870" s="231"/>
      <c r="AR870" s="235"/>
      <c r="AT870" s="235"/>
      <c r="AV870" s="232"/>
      <c r="AY870" s="235"/>
      <c r="BA870" s="235"/>
      <c r="BC870" s="232"/>
    </row>
    <row r="871" spans="41:55" x14ac:dyDescent="0.25">
      <c r="AO871" s="231"/>
      <c r="AR871" s="235"/>
      <c r="AT871" s="235"/>
      <c r="AV871" s="232"/>
      <c r="AY871" s="235"/>
      <c r="BA871" s="235"/>
      <c r="BC871" s="232"/>
    </row>
    <row r="872" spans="41:55" x14ac:dyDescent="0.25">
      <c r="AO872" s="231"/>
      <c r="AR872" s="235"/>
      <c r="AT872" s="235"/>
      <c r="AV872" s="232"/>
      <c r="AY872" s="235"/>
      <c r="BA872" s="235"/>
      <c r="BC872" s="232"/>
    </row>
    <row r="873" spans="41:55" x14ac:dyDescent="0.25">
      <c r="AO873" s="231"/>
      <c r="AR873" s="235"/>
      <c r="AT873" s="235"/>
      <c r="AV873" s="232"/>
      <c r="AY873" s="235"/>
      <c r="BA873" s="235"/>
      <c r="BC873" s="232"/>
    </row>
    <row r="874" spans="41:55" x14ac:dyDescent="0.25">
      <c r="AO874" s="231"/>
      <c r="AR874" s="235"/>
      <c r="AT874" s="235"/>
      <c r="AV874" s="232"/>
      <c r="AY874" s="235"/>
      <c r="BA874" s="235"/>
      <c r="BC874" s="232"/>
    </row>
    <row r="875" spans="41:55" x14ac:dyDescent="0.25">
      <c r="AO875" s="231"/>
      <c r="AR875" s="235"/>
      <c r="AT875" s="235"/>
      <c r="AV875" s="232"/>
      <c r="AY875" s="235"/>
      <c r="BA875" s="235"/>
      <c r="BC875" s="232"/>
    </row>
    <row r="876" spans="41:55" x14ac:dyDescent="0.25">
      <c r="AO876" s="231"/>
      <c r="AR876" s="235"/>
      <c r="AT876" s="235"/>
      <c r="AV876" s="232"/>
      <c r="AY876" s="235"/>
      <c r="BA876" s="235"/>
      <c r="BC876" s="232"/>
    </row>
    <row r="877" spans="41:55" x14ac:dyDescent="0.25">
      <c r="AO877" s="231"/>
      <c r="AR877" s="235"/>
      <c r="AT877" s="235"/>
      <c r="AV877" s="232"/>
      <c r="AY877" s="235"/>
      <c r="BA877" s="235"/>
      <c r="BC877" s="232"/>
    </row>
    <row r="878" spans="41:55" x14ac:dyDescent="0.25">
      <c r="AO878" s="231"/>
      <c r="AR878" s="235"/>
      <c r="AT878" s="235"/>
      <c r="AV878" s="232"/>
      <c r="AY878" s="235"/>
      <c r="BA878" s="235"/>
      <c r="BC878" s="232"/>
    </row>
    <row r="879" spans="41:55" x14ac:dyDescent="0.25">
      <c r="AO879" s="231"/>
      <c r="AR879" s="235"/>
      <c r="AT879" s="235"/>
      <c r="AV879" s="232"/>
      <c r="AY879" s="235"/>
      <c r="BA879" s="235"/>
      <c r="BC879" s="232"/>
    </row>
    <row r="880" spans="41:55" x14ac:dyDescent="0.25">
      <c r="AO880" s="231"/>
      <c r="AR880" s="235"/>
      <c r="AT880" s="235"/>
      <c r="AV880" s="232"/>
      <c r="AY880" s="235"/>
      <c r="BA880" s="235"/>
      <c r="BC880" s="232"/>
    </row>
    <row r="881" spans="41:55" x14ac:dyDescent="0.25">
      <c r="AO881" s="231"/>
      <c r="AR881" s="235"/>
      <c r="AT881" s="235"/>
      <c r="AV881" s="232"/>
      <c r="AY881" s="235"/>
      <c r="BA881" s="235"/>
      <c r="BC881" s="232"/>
    </row>
    <row r="882" spans="41:55" x14ac:dyDescent="0.25">
      <c r="AO882" s="231"/>
      <c r="AR882" s="235"/>
      <c r="AT882" s="235"/>
      <c r="AV882" s="232"/>
      <c r="AY882" s="235"/>
      <c r="BA882" s="235"/>
      <c r="BC882" s="232"/>
    </row>
    <row r="883" spans="41:55" x14ac:dyDescent="0.25">
      <c r="AO883" s="231"/>
      <c r="AR883" s="235"/>
      <c r="AT883" s="235"/>
      <c r="AV883" s="232"/>
      <c r="AY883" s="235"/>
      <c r="BA883" s="235"/>
      <c r="BC883" s="232"/>
    </row>
    <row r="884" spans="41:55" x14ac:dyDescent="0.25">
      <c r="AO884" s="231"/>
      <c r="AR884" s="235"/>
      <c r="AT884" s="235"/>
      <c r="AV884" s="232"/>
      <c r="AY884" s="235"/>
      <c r="BA884" s="235"/>
      <c r="BC884" s="232"/>
    </row>
    <row r="885" spans="41:55" x14ac:dyDescent="0.25">
      <c r="AO885" s="231"/>
      <c r="AR885" s="235"/>
      <c r="AT885" s="235"/>
      <c r="AV885" s="232"/>
      <c r="AY885" s="235"/>
      <c r="BA885" s="235"/>
      <c r="BC885" s="232"/>
    </row>
    <row r="886" spans="41:55" x14ac:dyDescent="0.25">
      <c r="AO886" s="231"/>
      <c r="AR886" s="235"/>
      <c r="AT886" s="235"/>
      <c r="AV886" s="232"/>
      <c r="AY886" s="235"/>
      <c r="BA886" s="235"/>
      <c r="BC886" s="232"/>
    </row>
    <row r="887" spans="41:55" x14ac:dyDescent="0.25">
      <c r="AO887" s="231"/>
      <c r="AR887" s="235"/>
      <c r="AT887" s="235"/>
      <c r="AV887" s="232"/>
      <c r="AY887" s="235"/>
      <c r="BA887" s="235"/>
      <c r="BC887" s="232"/>
    </row>
    <row r="888" spans="41:55" x14ac:dyDescent="0.25">
      <c r="AO888" s="231"/>
      <c r="AR888" s="235"/>
      <c r="AT888" s="235"/>
      <c r="AV888" s="232"/>
      <c r="AY888" s="235"/>
      <c r="BA888" s="235"/>
      <c r="BC888" s="232"/>
    </row>
    <row r="889" spans="41:55" x14ac:dyDescent="0.25">
      <c r="AO889" s="231"/>
      <c r="AR889" s="235"/>
      <c r="AT889" s="235"/>
      <c r="AV889" s="232"/>
      <c r="AY889" s="235"/>
      <c r="BA889" s="235"/>
      <c r="BC889" s="232"/>
    </row>
    <row r="890" spans="41:55" x14ac:dyDescent="0.25">
      <c r="AO890" s="231"/>
      <c r="AR890" s="235"/>
      <c r="AT890" s="235"/>
      <c r="AV890" s="232"/>
      <c r="AY890" s="235"/>
      <c r="BA890" s="235"/>
      <c r="BC890" s="232"/>
    </row>
    <row r="891" spans="41:55" x14ac:dyDescent="0.25">
      <c r="AO891" s="231"/>
      <c r="AR891" s="235"/>
      <c r="AT891" s="235"/>
      <c r="AV891" s="232"/>
      <c r="AY891" s="235"/>
      <c r="BA891" s="235"/>
      <c r="BC891" s="232"/>
    </row>
    <row r="892" spans="41:55" x14ac:dyDescent="0.25">
      <c r="AO892" s="231"/>
      <c r="AR892" s="235"/>
      <c r="AT892" s="235"/>
      <c r="AV892" s="232"/>
      <c r="AY892" s="235"/>
      <c r="BA892" s="235"/>
      <c r="BC892" s="232"/>
    </row>
    <row r="893" spans="41:55" x14ac:dyDescent="0.25">
      <c r="AO893" s="231"/>
      <c r="AR893" s="235"/>
      <c r="AT893" s="235"/>
      <c r="AV893" s="232"/>
      <c r="AY893" s="235"/>
      <c r="BA893" s="235"/>
      <c r="BC893" s="232"/>
    </row>
    <row r="894" spans="41:55" x14ac:dyDescent="0.25">
      <c r="AO894" s="231"/>
      <c r="AR894" s="235"/>
      <c r="AT894" s="235"/>
      <c r="AV894" s="232"/>
      <c r="AY894" s="235"/>
      <c r="BA894" s="235"/>
      <c r="BC894" s="232"/>
    </row>
    <row r="895" spans="41:55" x14ac:dyDescent="0.25">
      <c r="AO895" s="231"/>
      <c r="AR895" s="235"/>
      <c r="AT895" s="235"/>
      <c r="AV895" s="232"/>
      <c r="AY895" s="235"/>
      <c r="BA895" s="235"/>
      <c r="BC895" s="232"/>
    </row>
    <row r="896" spans="41:55" x14ac:dyDescent="0.25">
      <c r="AO896" s="231"/>
      <c r="AR896" s="235"/>
      <c r="AT896" s="235"/>
      <c r="AV896" s="232"/>
      <c r="AY896" s="235"/>
      <c r="BA896" s="235"/>
      <c r="BC896" s="232"/>
    </row>
    <row r="897" spans="41:55" x14ac:dyDescent="0.25">
      <c r="AO897" s="231"/>
      <c r="AR897" s="235"/>
      <c r="AT897" s="235"/>
      <c r="AV897" s="232"/>
      <c r="AY897" s="235"/>
      <c r="BA897" s="235"/>
      <c r="BC897" s="232"/>
    </row>
    <row r="898" spans="41:55" x14ac:dyDescent="0.25">
      <c r="AO898" s="231"/>
      <c r="AR898" s="235"/>
      <c r="AT898" s="235"/>
      <c r="AV898" s="232"/>
      <c r="AY898" s="235"/>
      <c r="BA898" s="235"/>
      <c r="BC898" s="232"/>
    </row>
    <row r="899" spans="41:55" x14ac:dyDescent="0.25">
      <c r="AO899" s="231"/>
      <c r="AR899" s="235"/>
      <c r="AT899" s="235"/>
      <c r="AV899" s="232"/>
      <c r="AY899" s="235"/>
      <c r="BA899" s="235"/>
      <c r="BC899" s="232"/>
    </row>
    <row r="900" spans="41:55" x14ac:dyDescent="0.25">
      <c r="AO900" s="231"/>
      <c r="AR900" s="235"/>
      <c r="AT900" s="235"/>
      <c r="AV900" s="232"/>
      <c r="AY900" s="235"/>
      <c r="BA900" s="235"/>
      <c r="BC900" s="232"/>
    </row>
    <row r="901" spans="41:55" x14ac:dyDescent="0.25">
      <c r="AO901" s="231"/>
      <c r="AR901" s="235"/>
      <c r="AT901" s="235"/>
      <c r="AV901" s="232"/>
      <c r="AY901" s="235"/>
      <c r="BA901" s="235"/>
      <c r="BC901" s="232"/>
    </row>
    <row r="902" spans="41:55" x14ac:dyDescent="0.25">
      <c r="AO902" s="231"/>
      <c r="AR902" s="235"/>
      <c r="AT902" s="235"/>
      <c r="AV902" s="232"/>
      <c r="AY902" s="235"/>
      <c r="BA902" s="235"/>
      <c r="BC902" s="232"/>
    </row>
    <row r="903" spans="41:55" x14ac:dyDescent="0.25">
      <c r="AO903" s="231"/>
      <c r="AR903" s="235"/>
      <c r="AT903" s="235"/>
      <c r="AV903" s="232"/>
      <c r="AY903" s="235"/>
      <c r="BA903" s="235"/>
      <c r="BC903" s="232"/>
    </row>
    <row r="904" spans="41:55" x14ac:dyDescent="0.25">
      <c r="AO904" s="231"/>
      <c r="AR904" s="235"/>
      <c r="AT904" s="235"/>
      <c r="AV904" s="232"/>
      <c r="AY904" s="235"/>
      <c r="BA904" s="235"/>
      <c r="BC904" s="232"/>
    </row>
    <row r="905" spans="41:55" x14ac:dyDescent="0.25">
      <c r="AO905" s="231"/>
      <c r="AR905" s="235"/>
      <c r="AT905" s="235"/>
      <c r="AV905" s="232"/>
      <c r="AY905" s="235"/>
      <c r="BA905" s="235"/>
      <c r="BC905" s="232"/>
    </row>
    <row r="906" spans="41:55" x14ac:dyDescent="0.25">
      <c r="AO906" s="231"/>
      <c r="AR906" s="235"/>
      <c r="AT906" s="235"/>
      <c r="AV906" s="232"/>
      <c r="AY906" s="235"/>
      <c r="BA906" s="235"/>
      <c r="BC906" s="232"/>
    </row>
    <row r="907" spans="41:55" x14ac:dyDescent="0.25">
      <c r="AO907" s="231"/>
      <c r="AR907" s="235"/>
      <c r="AT907" s="235"/>
      <c r="AV907" s="232"/>
      <c r="AY907" s="235"/>
      <c r="BA907" s="235"/>
      <c r="BC907" s="232"/>
    </row>
    <row r="908" spans="41:55" x14ac:dyDescent="0.25">
      <c r="AO908" s="231"/>
      <c r="AR908" s="235"/>
      <c r="AT908" s="235"/>
      <c r="AV908" s="232"/>
      <c r="AY908" s="235"/>
      <c r="BA908" s="235"/>
      <c r="BC908" s="232"/>
    </row>
    <row r="909" spans="41:55" x14ac:dyDescent="0.25">
      <c r="AO909" s="231"/>
      <c r="AR909" s="235"/>
      <c r="AT909" s="235"/>
      <c r="AV909" s="232"/>
      <c r="AY909" s="235"/>
      <c r="BA909" s="235"/>
      <c r="BC909" s="232"/>
    </row>
    <row r="910" spans="41:55" x14ac:dyDescent="0.25">
      <c r="AO910" s="231"/>
      <c r="AR910" s="235"/>
      <c r="AT910" s="235"/>
      <c r="AV910" s="232"/>
      <c r="AY910" s="235"/>
      <c r="BA910" s="235"/>
      <c r="BC910" s="232"/>
    </row>
    <row r="911" spans="41:55" x14ac:dyDescent="0.25">
      <c r="AO911" s="231"/>
      <c r="AR911" s="235"/>
      <c r="AT911" s="235"/>
      <c r="AV911" s="232"/>
      <c r="AY911" s="235"/>
      <c r="BA911" s="235"/>
      <c r="BC911" s="232"/>
    </row>
    <row r="912" spans="41:55" x14ac:dyDescent="0.25">
      <c r="AO912" s="231"/>
      <c r="AR912" s="235"/>
      <c r="AT912" s="235"/>
      <c r="AV912" s="232"/>
      <c r="AY912" s="235"/>
      <c r="BA912" s="235"/>
      <c r="BC912" s="232"/>
    </row>
    <row r="913" spans="41:55" x14ac:dyDescent="0.25">
      <c r="AO913" s="231"/>
      <c r="AR913" s="235"/>
      <c r="AT913" s="235"/>
      <c r="AV913" s="232"/>
      <c r="AY913" s="235"/>
      <c r="BA913" s="235"/>
      <c r="BC913" s="232"/>
    </row>
    <row r="914" spans="41:55" x14ac:dyDescent="0.25">
      <c r="AO914" s="231"/>
      <c r="AR914" s="235"/>
      <c r="AT914" s="235"/>
      <c r="AV914" s="232"/>
      <c r="AY914" s="235"/>
      <c r="BA914" s="235"/>
      <c r="BC914" s="232"/>
    </row>
    <row r="915" spans="41:55" x14ac:dyDescent="0.25">
      <c r="AO915" s="231"/>
      <c r="AR915" s="235"/>
      <c r="AT915" s="235"/>
      <c r="AV915" s="232"/>
      <c r="AY915" s="235"/>
      <c r="BA915" s="235"/>
      <c r="BC915" s="232"/>
    </row>
    <row r="916" spans="41:55" x14ac:dyDescent="0.25">
      <c r="AO916" s="231"/>
      <c r="AR916" s="235"/>
      <c r="AT916" s="235"/>
      <c r="AV916" s="232"/>
      <c r="AY916" s="235"/>
      <c r="BA916" s="235"/>
      <c r="BC916" s="232"/>
    </row>
    <row r="917" spans="41:55" x14ac:dyDescent="0.25">
      <c r="AO917" s="231"/>
      <c r="AR917" s="235"/>
      <c r="AT917" s="235"/>
      <c r="AV917" s="232"/>
      <c r="AY917" s="235"/>
      <c r="BA917" s="235"/>
      <c r="BC917" s="232"/>
    </row>
    <row r="918" spans="41:55" x14ac:dyDescent="0.25">
      <c r="AO918" s="231"/>
      <c r="AR918" s="235"/>
      <c r="AT918" s="235"/>
      <c r="AV918" s="232"/>
      <c r="AY918" s="235"/>
      <c r="BA918" s="235"/>
      <c r="BC918" s="232"/>
    </row>
    <row r="919" spans="41:55" x14ac:dyDescent="0.25">
      <c r="AO919" s="231"/>
      <c r="AR919" s="235"/>
      <c r="AT919" s="235"/>
      <c r="AV919" s="232"/>
      <c r="AY919" s="235"/>
      <c r="BA919" s="235"/>
      <c r="BC919" s="232"/>
    </row>
    <row r="920" spans="41:55" x14ac:dyDescent="0.25">
      <c r="AO920" s="231"/>
      <c r="AR920" s="235"/>
      <c r="AT920" s="235"/>
      <c r="AV920" s="232"/>
      <c r="AY920" s="235"/>
      <c r="BA920" s="235"/>
      <c r="BC920" s="232"/>
    </row>
    <row r="921" spans="41:55" x14ac:dyDescent="0.25">
      <c r="AO921" s="231"/>
      <c r="AR921" s="235"/>
      <c r="AT921" s="235"/>
      <c r="AV921" s="232"/>
      <c r="AY921" s="235"/>
      <c r="BA921" s="235"/>
      <c r="BC921" s="232"/>
    </row>
    <row r="922" spans="41:55" x14ac:dyDescent="0.25">
      <c r="AO922" s="231"/>
      <c r="AR922" s="235"/>
      <c r="AT922" s="235"/>
      <c r="AV922" s="232"/>
      <c r="AY922" s="235"/>
      <c r="BA922" s="235"/>
      <c r="BC922" s="232"/>
    </row>
    <row r="923" spans="41:55" x14ac:dyDescent="0.25">
      <c r="AO923" s="231"/>
      <c r="AR923" s="235"/>
      <c r="AT923" s="235"/>
      <c r="AV923" s="232"/>
      <c r="AY923" s="235"/>
      <c r="BA923" s="235"/>
      <c r="BC923" s="232"/>
    </row>
    <row r="924" spans="41:55" x14ac:dyDescent="0.25">
      <c r="AO924" s="231"/>
      <c r="AR924" s="235"/>
      <c r="AT924" s="235"/>
      <c r="AV924" s="232"/>
      <c r="AY924" s="235"/>
      <c r="BA924" s="235"/>
      <c r="BC924" s="232"/>
    </row>
    <row r="925" spans="41:55" x14ac:dyDescent="0.25">
      <c r="AO925" s="231"/>
      <c r="AR925" s="235"/>
      <c r="AT925" s="235"/>
      <c r="AV925" s="232"/>
      <c r="AY925" s="235"/>
      <c r="BA925" s="235"/>
      <c r="BC925" s="232"/>
    </row>
    <row r="926" spans="41:55" x14ac:dyDescent="0.25">
      <c r="AO926" s="231"/>
      <c r="AR926" s="235"/>
      <c r="AT926" s="235"/>
      <c r="AV926" s="232"/>
      <c r="AY926" s="235"/>
      <c r="BA926" s="235"/>
      <c r="BC926" s="232"/>
    </row>
    <row r="927" spans="41:55" x14ac:dyDescent="0.25">
      <c r="AO927" s="231"/>
      <c r="AR927" s="235"/>
      <c r="AT927" s="235"/>
      <c r="AV927" s="232"/>
      <c r="AY927" s="235"/>
      <c r="BA927" s="235"/>
      <c r="BC927" s="232"/>
    </row>
    <row r="928" spans="41:55" x14ac:dyDescent="0.25">
      <c r="AO928" s="231"/>
      <c r="AR928" s="235"/>
      <c r="AT928" s="235"/>
      <c r="AV928" s="232"/>
      <c r="AY928" s="235"/>
      <c r="BA928" s="235"/>
      <c r="BC928" s="232"/>
    </row>
    <row r="929" spans="41:55" x14ac:dyDescent="0.25">
      <c r="AO929" s="231"/>
      <c r="AR929" s="235"/>
      <c r="AT929" s="235"/>
      <c r="AV929" s="232"/>
      <c r="AY929" s="235"/>
      <c r="BA929" s="235"/>
      <c r="BC929" s="232"/>
    </row>
    <row r="930" spans="41:55" x14ac:dyDescent="0.25">
      <c r="AO930" s="231"/>
      <c r="AR930" s="235"/>
      <c r="AT930" s="235"/>
      <c r="AV930" s="232"/>
      <c r="AY930" s="235"/>
      <c r="BA930" s="235"/>
      <c r="BC930" s="232"/>
    </row>
    <row r="931" spans="41:55" x14ac:dyDescent="0.25">
      <c r="AO931" s="231"/>
      <c r="AR931" s="235"/>
      <c r="AT931" s="235"/>
      <c r="AV931" s="232"/>
      <c r="AY931" s="235"/>
      <c r="BA931" s="235"/>
      <c r="BC931" s="232"/>
    </row>
    <row r="932" spans="41:55" x14ac:dyDescent="0.25">
      <c r="AO932" s="231"/>
      <c r="AR932" s="235"/>
      <c r="AT932" s="235"/>
      <c r="AV932" s="232"/>
      <c r="AY932" s="235"/>
      <c r="BA932" s="235"/>
      <c r="BC932" s="232"/>
    </row>
    <row r="933" spans="41:55" x14ac:dyDescent="0.25">
      <c r="AO933" s="231"/>
      <c r="AR933" s="235"/>
      <c r="AT933" s="235"/>
      <c r="AV933" s="232"/>
      <c r="AY933" s="235"/>
      <c r="BA933" s="235"/>
      <c r="BC933" s="232"/>
    </row>
    <row r="934" spans="41:55" x14ac:dyDescent="0.25">
      <c r="AO934" s="231"/>
      <c r="AR934" s="235"/>
      <c r="AT934" s="235"/>
      <c r="AV934" s="232"/>
      <c r="AY934" s="235"/>
      <c r="BA934" s="235"/>
      <c r="BC934" s="232"/>
    </row>
    <row r="935" spans="41:55" x14ac:dyDescent="0.25">
      <c r="AO935" s="231"/>
      <c r="AR935" s="235"/>
      <c r="AT935" s="235"/>
      <c r="AV935" s="232"/>
      <c r="AY935" s="235"/>
      <c r="BA935" s="235"/>
      <c r="BC935" s="232"/>
    </row>
    <row r="936" spans="41:55" x14ac:dyDescent="0.25">
      <c r="AO936" s="231"/>
      <c r="AR936" s="235"/>
      <c r="AT936" s="235"/>
      <c r="AV936" s="232"/>
      <c r="AY936" s="235"/>
      <c r="BA936" s="235"/>
      <c r="BC936" s="232"/>
    </row>
    <row r="937" spans="41:55" x14ac:dyDescent="0.25">
      <c r="AO937" s="231"/>
      <c r="AR937" s="235"/>
      <c r="AT937" s="235"/>
      <c r="AV937" s="232"/>
      <c r="AY937" s="235"/>
      <c r="BA937" s="235"/>
      <c r="BC937" s="232"/>
    </row>
    <row r="938" spans="41:55" x14ac:dyDescent="0.25">
      <c r="AO938" s="231"/>
      <c r="AR938" s="235"/>
      <c r="AT938" s="235"/>
      <c r="AV938" s="232"/>
      <c r="AY938" s="235"/>
      <c r="BA938" s="235"/>
      <c r="BC938" s="232"/>
    </row>
    <row r="939" spans="41:55" x14ac:dyDescent="0.25">
      <c r="AO939" s="231"/>
      <c r="AR939" s="235"/>
      <c r="AT939" s="235"/>
      <c r="AV939" s="232"/>
      <c r="AY939" s="235"/>
      <c r="BA939" s="235"/>
      <c r="BC939" s="232"/>
    </row>
    <row r="940" spans="41:55" x14ac:dyDescent="0.25">
      <c r="AO940" s="231"/>
      <c r="AR940" s="235"/>
      <c r="AT940" s="235"/>
      <c r="AV940" s="232"/>
      <c r="AY940" s="235"/>
      <c r="BA940" s="235"/>
      <c r="BC940" s="232"/>
    </row>
    <row r="941" spans="41:55" x14ac:dyDescent="0.25">
      <c r="AO941" s="231"/>
      <c r="AR941" s="235"/>
      <c r="AT941" s="235"/>
      <c r="AV941" s="232"/>
      <c r="AY941" s="235"/>
      <c r="BA941" s="235"/>
      <c r="BC941" s="232"/>
    </row>
    <row r="942" spans="41:55" x14ac:dyDescent="0.25">
      <c r="AO942" s="231"/>
      <c r="AR942" s="235"/>
      <c r="AT942" s="235"/>
      <c r="AV942" s="232"/>
      <c r="AY942" s="235"/>
      <c r="BA942" s="235"/>
      <c r="BC942" s="232"/>
    </row>
    <row r="943" spans="41:55" x14ac:dyDescent="0.25">
      <c r="AO943" s="231"/>
      <c r="AR943" s="235"/>
      <c r="AT943" s="235"/>
      <c r="AV943" s="232"/>
      <c r="AY943" s="235"/>
      <c r="BA943" s="235"/>
      <c r="BC943" s="232"/>
    </row>
    <row r="944" spans="41:55" x14ac:dyDescent="0.25">
      <c r="AO944" s="231"/>
      <c r="AR944" s="235"/>
      <c r="AT944" s="235"/>
      <c r="AV944" s="232"/>
      <c r="AY944" s="235"/>
      <c r="BA944" s="235"/>
      <c r="BC944" s="232"/>
    </row>
    <row r="945" spans="41:55" x14ac:dyDescent="0.25">
      <c r="AO945" s="231"/>
      <c r="AR945" s="235"/>
      <c r="AT945" s="235"/>
      <c r="AV945" s="232"/>
      <c r="AY945" s="235"/>
      <c r="BA945" s="235"/>
      <c r="BC945" s="232"/>
    </row>
    <row r="946" spans="41:55" x14ac:dyDescent="0.25">
      <c r="AO946" s="231"/>
      <c r="AR946" s="235"/>
      <c r="AT946" s="235"/>
      <c r="AV946" s="232"/>
      <c r="AY946" s="235"/>
      <c r="BA946" s="235"/>
      <c r="BC946" s="232"/>
    </row>
    <row r="947" spans="41:55" x14ac:dyDescent="0.25">
      <c r="AO947" s="231"/>
      <c r="AR947" s="235"/>
      <c r="AT947" s="235"/>
      <c r="AV947" s="232"/>
      <c r="AY947" s="235"/>
      <c r="BA947" s="235"/>
      <c r="BC947" s="232"/>
    </row>
    <row r="948" spans="41:55" x14ac:dyDescent="0.25">
      <c r="AO948" s="231"/>
      <c r="AR948" s="235"/>
      <c r="AT948" s="235"/>
      <c r="AV948" s="232"/>
      <c r="AY948" s="235"/>
      <c r="BA948" s="235"/>
      <c r="BC948" s="232"/>
    </row>
    <row r="949" spans="41:55" x14ac:dyDescent="0.25">
      <c r="AO949" s="231"/>
      <c r="AR949" s="235"/>
      <c r="AT949" s="235"/>
      <c r="AV949" s="232"/>
      <c r="AY949" s="235"/>
      <c r="BA949" s="235"/>
      <c r="BC949" s="232"/>
    </row>
    <row r="950" spans="41:55" x14ac:dyDescent="0.25">
      <c r="AO950" s="231"/>
      <c r="AR950" s="235"/>
      <c r="AT950" s="235"/>
      <c r="AV950" s="232"/>
      <c r="AY950" s="235"/>
      <c r="BA950" s="235"/>
      <c r="BC950" s="232"/>
    </row>
    <row r="951" spans="41:55" x14ac:dyDescent="0.25">
      <c r="AO951" s="231"/>
      <c r="AR951" s="235"/>
      <c r="AT951" s="235"/>
      <c r="AV951" s="232"/>
      <c r="AY951" s="235"/>
      <c r="BA951" s="235"/>
      <c r="BC951" s="232"/>
    </row>
    <row r="952" spans="41:55" x14ac:dyDescent="0.25">
      <c r="AO952" s="231"/>
      <c r="AR952" s="235"/>
      <c r="AT952" s="235"/>
      <c r="AV952" s="232"/>
      <c r="AY952" s="235"/>
      <c r="BA952" s="235"/>
      <c r="BC952" s="232"/>
    </row>
    <row r="953" spans="41:55" x14ac:dyDescent="0.25">
      <c r="AO953" s="231"/>
      <c r="AR953" s="235"/>
      <c r="AT953" s="235"/>
      <c r="AV953" s="232"/>
      <c r="AY953" s="235"/>
      <c r="BA953" s="235"/>
      <c r="BC953" s="232"/>
    </row>
    <row r="954" spans="41:55" x14ac:dyDescent="0.25">
      <c r="AO954" s="231"/>
      <c r="AR954" s="235"/>
      <c r="AT954" s="235"/>
      <c r="AV954" s="232"/>
      <c r="AY954" s="235"/>
      <c r="BA954" s="235"/>
      <c r="BC954" s="232"/>
    </row>
    <row r="955" spans="41:55" x14ac:dyDescent="0.25">
      <c r="AO955" s="231"/>
      <c r="AR955" s="235"/>
      <c r="AT955" s="235"/>
      <c r="AV955" s="232"/>
      <c r="AY955" s="235"/>
      <c r="BA955" s="235"/>
      <c r="BC955" s="232"/>
    </row>
    <row r="956" spans="41:55" x14ac:dyDescent="0.25">
      <c r="AO956" s="231"/>
      <c r="AR956" s="235"/>
      <c r="AT956" s="235"/>
      <c r="AV956" s="232"/>
      <c r="AY956" s="235"/>
      <c r="BA956" s="235"/>
      <c r="BC956" s="232"/>
    </row>
    <row r="957" spans="41:55" x14ac:dyDescent="0.25">
      <c r="AO957" s="231"/>
      <c r="AR957" s="235"/>
      <c r="AT957" s="235"/>
      <c r="AV957" s="232"/>
      <c r="AY957" s="235"/>
      <c r="BA957" s="235"/>
      <c r="BC957" s="232"/>
    </row>
    <row r="958" spans="41:55" x14ac:dyDescent="0.25">
      <c r="AO958" s="231"/>
      <c r="AR958" s="235"/>
      <c r="AT958" s="235"/>
      <c r="AV958" s="232"/>
      <c r="AY958" s="235"/>
      <c r="BA958" s="235"/>
      <c r="BC958" s="232"/>
    </row>
    <row r="959" spans="41:55" x14ac:dyDescent="0.25">
      <c r="AO959" s="231"/>
      <c r="AR959" s="235"/>
      <c r="AT959" s="235"/>
      <c r="AV959" s="232"/>
      <c r="AY959" s="235"/>
      <c r="BA959" s="235"/>
      <c r="BC959" s="232"/>
    </row>
    <row r="960" spans="41:55" x14ac:dyDescent="0.25">
      <c r="AO960" s="231"/>
      <c r="AR960" s="235"/>
      <c r="AT960" s="235"/>
      <c r="AV960" s="232"/>
      <c r="AY960" s="235"/>
      <c r="BA960" s="235"/>
      <c r="BC960" s="232"/>
    </row>
    <row r="961" spans="41:55" x14ac:dyDescent="0.25">
      <c r="AO961" s="231"/>
      <c r="AR961" s="235"/>
      <c r="AT961" s="235"/>
      <c r="AV961" s="232"/>
      <c r="AY961" s="235"/>
      <c r="BA961" s="235"/>
      <c r="BC961" s="232"/>
    </row>
    <row r="962" spans="41:55" x14ac:dyDescent="0.25">
      <c r="AO962" s="231"/>
      <c r="AR962" s="235"/>
      <c r="AT962" s="235"/>
      <c r="AV962" s="232"/>
      <c r="AY962" s="235"/>
      <c r="BA962" s="235"/>
      <c r="BC962" s="232"/>
    </row>
    <row r="963" spans="41:55" x14ac:dyDescent="0.25">
      <c r="AO963" s="231"/>
      <c r="AR963" s="235"/>
      <c r="AT963" s="235"/>
      <c r="AV963" s="232"/>
      <c r="AY963" s="235"/>
      <c r="BA963" s="235"/>
      <c r="BC963" s="232"/>
    </row>
    <row r="964" spans="41:55" x14ac:dyDescent="0.25">
      <c r="AO964" s="231"/>
      <c r="AR964" s="235"/>
      <c r="AT964" s="235"/>
      <c r="AV964" s="232"/>
      <c r="AY964" s="235"/>
      <c r="BA964" s="235"/>
      <c r="BC964" s="232"/>
    </row>
    <row r="965" spans="41:55" x14ac:dyDescent="0.25">
      <c r="AO965" s="231"/>
      <c r="AR965" s="235"/>
      <c r="AT965" s="235"/>
      <c r="AV965" s="232"/>
      <c r="AY965" s="235"/>
      <c r="BA965" s="235"/>
      <c r="BC965" s="232"/>
    </row>
    <row r="966" spans="41:55" x14ac:dyDescent="0.25">
      <c r="AO966" s="231"/>
      <c r="AR966" s="235"/>
      <c r="AT966" s="235"/>
      <c r="AV966" s="232"/>
      <c r="AY966" s="235"/>
      <c r="BA966" s="235"/>
      <c r="BC966" s="232"/>
    </row>
    <row r="967" spans="41:55" x14ac:dyDescent="0.25">
      <c r="AO967" s="231"/>
      <c r="AR967" s="235"/>
      <c r="AT967" s="235"/>
      <c r="AV967" s="232"/>
      <c r="AY967" s="235"/>
      <c r="BA967" s="235"/>
      <c r="BC967" s="232"/>
    </row>
    <row r="968" spans="41:55" x14ac:dyDescent="0.25">
      <c r="AO968" s="231"/>
      <c r="AR968" s="235"/>
      <c r="AT968" s="235"/>
      <c r="AV968" s="232"/>
      <c r="AY968" s="235"/>
      <c r="BA968" s="235"/>
      <c r="BC968" s="232"/>
    </row>
    <row r="969" spans="41:55" x14ac:dyDescent="0.25">
      <c r="AO969" s="231"/>
      <c r="AR969" s="235"/>
      <c r="AT969" s="235"/>
      <c r="AV969" s="232"/>
      <c r="AY969" s="235"/>
      <c r="BA969" s="235"/>
      <c r="BC969" s="232"/>
    </row>
    <row r="970" spans="41:55" x14ac:dyDescent="0.25">
      <c r="AO970" s="231"/>
      <c r="AR970" s="235"/>
      <c r="AT970" s="235"/>
      <c r="AV970" s="232"/>
      <c r="AY970" s="235"/>
      <c r="BA970" s="235"/>
      <c r="BC970" s="232"/>
    </row>
    <row r="971" spans="41:55" x14ac:dyDescent="0.25">
      <c r="AO971" s="231"/>
      <c r="AR971" s="235"/>
      <c r="AT971" s="235"/>
      <c r="AV971" s="232"/>
      <c r="AY971" s="235"/>
      <c r="BA971" s="235"/>
      <c r="BC971" s="232"/>
    </row>
    <row r="972" spans="41:55" x14ac:dyDescent="0.25">
      <c r="AO972" s="231"/>
      <c r="AR972" s="235"/>
      <c r="AT972" s="235"/>
      <c r="AV972" s="232"/>
      <c r="AY972" s="235"/>
      <c r="BA972" s="235"/>
      <c r="BC972" s="232"/>
    </row>
    <row r="973" spans="41:55" x14ac:dyDescent="0.25">
      <c r="AO973" s="231"/>
      <c r="AR973" s="235"/>
      <c r="AT973" s="235"/>
      <c r="AV973" s="232"/>
      <c r="AY973" s="235"/>
      <c r="BA973" s="235"/>
      <c r="BC973" s="232"/>
    </row>
    <row r="974" spans="41:55" x14ac:dyDescent="0.25">
      <c r="AO974" s="231"/>
      <c r="AR974" s="235"/>
      <c r="AT974" s="235"/>
      <c r="AV974" s="232"/>
      <c r="AY974" s="235"/>
      <c r="BA974" s="235"/>
      <c r="BC974" s="232"/>
    </row>
    <row r="975" spans="41:55" x14ac:dyDescent="0.25">
      <c r="AO975" s="231"/>
      <c r="AR975" s="235"/>
      <c r="AT975" s="235"/>
      <c r="AV975" s="232"/>
      <c r="AY975" s="235"/>
      <c r="BA975" s="235"/>
      <c r="BC975" s="232"/>
    </row>
    <row r="976" spans="41:55" x14ac:dyDescent="0.25">
      <c r="AO976" s="231"/>
      <c r="AR976" s="235"/>
      <c r="AT976" s="235"/>
      <c r="AV976" s="232"/>
      <c r="AY976" s="235"/>
      <c r="BA976" s="235"/>
      <c r="BC976" s="232"/>
    </row>
    <row r="977" spans="41:55" x14ac:dyDescent="0.25">
      <c r="AO977" s="231"/>
      <c r="AR977" s="235"/>
      <c r="AT977" s="235"/>
      <c r="AV977" s="232"/>
      <c r="AY977" s="235"/>
      <c r="BA977" s="235"/>
      <c r="BC977" s="232"/>
    </row>
    <row r="978" spans="41:55" x14ac:dyDescent="0.25">
      <c r="AO978" s="231"/>
      <c r="AR978" s="235"/>
      <c r="AT978" s="235"/>
      <c r="AV978" s="232"/>
      <c r="AY978" s="235"/>
      <c r="BA978" s="235"/>
      <c r="BC978" s="232"/>
    </row>
    <row r="979" spans="41:55" x14ac:dyDescent="0.25">
      <c r="AO979" s="231"/>
      <c r="AR979" s="235"/>
      <c r="AT979" s="235"/>
      <c r="AV979" s="232"/>
      <c r="AY979" s="235"/>
      <c r="BA979" s="235"/>
      <c r="BC979" s="232"/>
    </row>
    <row r="980" spans="41:55" x14ac:dyDescent="0.25">
      <c r="AO980" s="231"/>
      <c r="AR980" s="235"/>
      <c r="AT980" s="235"/>
      <c r="AV980" s="232"/>
      <c r="AY980" s="235"/>
      <c r="BA980" s="235"/>
      <c r="BC980" s="232"/>
    </row>
    <row r="981" spans="41:55" x14ac:dyDescent="0.25">
      <c r="AO981" s="231"/>
      <c r="AR981" s="235"/>
      <c r="AT981" s="235"/>
      <c r="AV981" s="232"/>
      <c r="AY981" s="235"/>
      <c r="BA981" s="235"/>
      <c r="BC981" s="232"/>
    </row>
    <row r="982" spans="41:55" x14ac:dyDescent="0.25">
      <c r="AO982" s="231"/>
      <c r="AR982" s="235"/>
      <c r="AT982" s="235"/>
      <c r="AV982" s="232"/>
      <c r="AY982" s="235"/>
      <c r="BA982" s="235"/>
      <c r="BC982" s="232"/>
    </row>
    <row r="983" spans="41:55" x14ac:dyDescent="0.25">
      <c r="AO983" s="231"/>
      <c r="AR983" s="235"/>
      <c r="AT983" s="235"/>
      <c r="AV983" s="232"/>
      <c r="AY983" s="235"/>
      <c r="BA983" s="235"/>
      <c r="BC983" s="232"/>
    </row>
    <row r="984" spans="41:55" x14ac:dyDescent="0.25">
      <c r="AO984" s="231"/>
      <c r="AR984" s="235"/>
      <c r="AT984" s="235"/>
      <c r="AV984" s="232"/>
      <c r="AY984" s="235"/>
      <c r="BA984" s="235"/>
      <c r="BC984" s="232"/>
    </row>
    <row r="985" spans="41:55" x14ac:dyDescent="0.25">
      <c r="AO985" s="231"/>
      <c r="AR985" s="235"/>
      <c r="AT985" s="235"/>
      <c r="AV985" s="232"/>
      <c r="AY985" s="235"/>
      <c r="BA985" s="235"/>
      <c r="BC985" s="232"/>
    </row>
    <row r="986" spans="41:55" x14ac:dyDescent="0.25">
      <c r="AO986" s="231"/>
      <c r="AR986" s="235"/>
      <c r="AT986" s="235"/>
      <c r="AV986" s="232"/>
      <c r="AY986" s="235"/>
      <c r="BA986" s="235"/>
      <c r="BC986" s="232"/>
    </row>
    <row r="987" spans="41:55" x14ac:dyDescent="0.25">
      <c r="AO987" s="231"/>
      <c r="AR987" s="235"/>
      <c r="AT987" s="235"/>
      <c r="AV987" s="232"/>
      <c r="AY987" s="235"/>
      <c r="BA987" s="235"/>
      <c r="BC987" s="232"/>
    </row>
    <row r="988" spans="41:55" x14ac:dyDescent="0.25">
      <c r="AO988" s="231"/>
      <c r="AR988" s="235"/>
      <c r="AT988" s="235"/>
      <c r="AV988" s="232"/>
      <c r="AY988" s="235"/>
      <c r="BA988" s="235"/>
      <c r="BC988" s="232"/>
    </row>
    <row r="989" spans="41:55" x14ac:dyDescent="0.25">
      <c r="AO989" s="231"/>
      <c r="AR989" s="235"/>
      <c r="AT989" s="235"/>
      <c r="AV989" s="232"/>
      <c r="AY989" s="235"/>
      <c r="BA989" s="235"/>
      <c r="BC989" s="232"/>
    </row>
    <row r="990" spans="41:55" x14ac:dyDescent="0.25">
      <c r="AO990" s="231"/>
      <c r="AR990" s="235"/>
      <c r="AT990" s="235"/>
      <c r="AV990" s="232"/>
      <c r="AY990" s="235"/>
      <c r="BA990" s="235"/>
      <c r="BC990" s="232"/>
    </row>
    <row r="991" spans="41:55" x14ac:dyDescent="0.25">
      <c r="AO991" s="231"/>
      <c r="AR991" s="235"/>
      <c r="AT991" s="235"/>
      <c r="AV991" s="232"/>
      <c r="AY991" s="235"/>
      <c r="BA991" s="235"/>
      <c r="BC991" s="232"/>
    </row>
    <row r="992" spans="41:55" x14ac:dyDescent="0.25">
      <c r="AO992" s="231"/>
      <c r="AR992" s="235"/>
      <c r="AT992" s="235"/>
      <c r="AV992" s="232"/>
      <c r="AY992" s="235"/>
      <c r="BA992" s="235"/>
      <c r="BC992" s="232"/>
    </row>
    <row r="993" spans="41:55" x14ac:dyDescent="0.25">
      <c r="AO993" s="231"/>
      <c r="AR993" s="235"/>
      <c r="AT993" s="235"/>
      <c r="AV993" s="232"/>
      <c r="AY993" s="235"/>
      <c r="BA993" s="235"/>
      <c r="BC993" s="232"/>
    </row>
    <row r="994" spans="41:55" x14ac:dyDescent="0.25">
      <c r="AO994" s="231"/>
      <c r="AR994" s="235"/>
      <c r="AT994" s="235"/>
      <c r="AV994" s="232"/>
      <c r="AY994" s="235"/>
      <c r="BA994" s="235"/>
      <c r="BC994" s="232"/>
    </row>
    <row r="995" spans="41:55" x14ac:dyDescent="0.25">
      <c r="AO995" s="231"/>
      <c r="AR995" s="235"/>
      <c r="AT995" s="235"/>
      <c r="AV995" s="232"/>
      <c r="AY995" s="235"/>
      <c r="BA995" s="235"/>
      <c r="BC995" s="232"/>
    </row>
    <row r="996" spans="41:55" x14ac:dyDescent="0.25">
      <c r="AO996" s="231"/>
      <c r="AR996" s="235"/>
      <c r="AT996" s="235"/>
      <c r="AV996" s="232"/>
      <c r="AY996" s="235"/>
      <c r="BA996" s="235"/>
      <c r="BC996" s="232"/>
    </row>
    <row r="997" spans="41:55" x14ac:dyDescent="0.25">
      <c r="AO997" s="231"/>
      <c r="AR997" s="235"/>
      <c r="AT997" s="235"/>
      <c r="AV997" s="232"/>
      <c r="AY997" s="235"/>
      <c r="BA997" s="235"/>
      <c r="BC997" s="232"/>
    </row>
    <row r="998" spans="41:55" x14ac:dyDescent="0.25">
      <c r="AO998" s="231"/>
      <c r="AR998" s="235"/>
      <c r="AT998" s="235"/>
      <c r="AV998" s="232"/>
      <c r="AY998" s="235"/>
      <c r="BA998" s="235"/>
      <c r="BC998" s="232"/>
    </row>
    <row r="999" spans="41:55" x14ac:dyDescent="0.25">
      <c r="AO999" s="231"/>
      <c r="AR999" s="235"/>
      <c r="AT999" s="235"/>
      <c r="AV999" s="232"/>
      <c r="AY999" s="235"/>
      <c r="BA999" s="235"/>
      <c r="BC999" s="232"/>
    </row>
    <row r="1000" spans="41:55" x14ac:dyDescent="0.25">
      <c r="AO1000" s="231"/>
      <c r="AR1000" s="235"/>
      <c r="AT1000" s="235"/>
      <c r="AV1000" s="232"/>
      <c r="AY1000" s="235"/>
      <c r="BA1000" s="235"/>
      <c r="BC1000" s="232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340">
    <cfRule type="cellIs" dxfId="17" priority="280" operator="equal">
      <formula>0</formula>
    </cfRule>
  </conditionalFormatting>
  <conditionalFormatting sqref="J6:J31">
    <cfRule type="dataBar" priority="2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{2C5D5776-1217-443F-A341-3EC9DCFABA91}</x14:id>
        </ext>
      </extLst>
    </cfRule>
  </conditionalFormatting>
  <conditionalFormatting sqref="N6:N340">
    <cfRule type="cellIs" dxfId="16" priority="279" stopIfTrue="1" operator="equal">
      <formula>0</formula>
    </cfRule>
  </conditionalFormatting>
  <conditionalFormatting sqref="V6:W340">
    <cfRule type="cellIs" dxfId="15" priority="278" operator="equal">
      <formula>0</formula>
    </cfRule>
  </conditionalFormatting>
  <conditionalFormatting sqref="X6:X340">
    <cfRule type="cellIs" dxfId="14" priority="277" stopIfTrue="1" operator="equal">
      <formula>0</formula>
    </cfRule>
  </conditionalFormatting>
  <conditionalFormatting sqref="AB6:AB340">
    <cfRule type="cellIs" dxfId="13" priority="276" operator="equal">
      <formula>0</formula>
    </cfRule>
  </conditionalFormatting>
  <conditionalFormatting sqref="AC6:AC340">
    <cfRule type="cellIs" dxfId="12" priority="275" stopIfTrue="1" operator="equal">
      <formula>0</formula>
    </cfRule>
  </conditionalFormatting>
  <conditionalFormatting sqref="R6:R340">
    <cfRule type="cellIs" dxfId="11" priority="274" operator="equal">
      <formula>0</formula>
    </cfRule>
  </conditionalFormatting>
  <conditionalFormatting sqref="Q6:Q340">
    <cfRule type="cellIs" dxfId="10" priority="273" operator="equal">
      <formula>0</formula>
    </cfRule>
  </conditionalFormatting>
  <conditionalFormatting sqref="S6:S340">
    <cfRule type="cellIs" dxfId="9" priority="272" stopIfTrue="1" operator="equal">
      <formula>0</formula>
    </cfRule>
  </conditionalFormatting>
  <conditionalFormatting sqref="AA6:AA340">
    <cfRule type="cellIs" dxfId="8" priority="271" operator="equal">
      <formula>0</formula>
    </cfRule>
  </conditionalFormatting>
  <conditionalFormatting sqref="AH6:AH340">
    <cfRule type="cellIs" dxfId="7" priority="269" stopIfTrue="1" operator="equal">
      <formula>0</formula>
    </cfRule>
  </conditionalFormatting>
  <conditionalFormatting sqref="AM6:AM340">
    <cfRule type="cellIs" dxfId="6" priority="267" stopIfTrue="1" operator="equal">
      <formula>0</formula>
    </cfRule>
  </conditionalFormatting>
  <conditionalFormatting sqref="AO6:AO340">
    <cfRule type="cellIs" dxfId="5" priority="265" operator="lessThanOrEqual">
      <formula>0.01</formula>
    </cfRule>
    <cfRule type="colorScale" priority="266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340">
    <cfRule type="expression" dxfId="4" priority="2">
      <formula>IF($A6=1,TRUE,FALSE)</formula>
    </cfRule>
  </conditionalFormatting>
  <conditionalFormatting sqref="N6:N340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X6:X340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AC6:AC340">
    <cfRule type="colorScale" priority="305">
      <colorScale>
        <cfvo type="min"/>
        <cfvo type="max"/>
        <color theme="7" tint="0.39997558519241921"/>
        <color theme="5"/>
      </colorScale>
    </cfRule>
  </conditionalFormatting>
  <conditionalFormatting sqref="S6:S340">
    <cfRule type="colorScale" priority="306">
      <colorScale>
        <cfvo type="min"/>
        <cfvo type="max"/>
        <color theme="7" tint="0.39997558519241921"/>
        <color theme="5"/>
      </colorScale>
    </cfRule>
  </conditionalFormatting>
  <conditionalFormatting sqref="AH6:AH340">
    <cfRule type="colorScale" priority="307">
      <colorScale>
        <cfvo type="min"/>
        <cfvo type="max"/>
        <color theme="7" tint="0.39997558519241921"/>
        <color theme="5"/>
      </colorScale>
    </cfRule>
  </conditionalFormatting>
  <conditionalFormatting sqref="AM6:AM340">
    <cfRule type="colorScale" priority="308">
      <colorScale>
        <cfvo type="min"/>
        <cfvo type="max"/>
        <color theme="7" tint="0.39997558519241921"/>
        <color theme="5"/>
      </colorScale>
    </cfRule>
  </conditionalFormatting>
  <conditionalFormatting sqref="H6:H340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5D5776-1217-443F-A341-3EC9DCFABA9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6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3811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  <row r="6" spans="1:20" x14ac:dyDescent="0.25">
      <c r="A6" s="137" t="s">
        <v>117</v>
      </c>
      <c r="B6" s="137">
        <v>361</v>
      </c>
      <c r="C6" s="137" t="s">
        <v>223</v>
      </c>
      <c r="D6" s="137">
        <v>192051734</v>
      </c>
      <c r="E6" s="137">
        <v>0</v>
      </c>
      <c r="F6" s="137">
        <v>1080</v>
      </c>
      <c r="I6" s="137">
        <v>115</v>
      </c>
      <c r="J6" s="137">
        <v>1020012</v>
      </c>
      <c r="K6" s="137" t="s">
        <v>3596</v>
      </c>
      <c r="L6" s="137" t="s">
        <v>3597</v>
      </c>
      <c r="M6" s="137">
        <v>3052</v>
      </c>
      <c r="N6" s="137">
        <v>0</v>
      </c>
      <c r="O6" s="137" t="s">
        <v>223</v>
      </c>
      <c r="R6" s="137" t="s">
        <v>3598</v>
      </c>
      <c r="S6" s="137">
        <v>0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17" x14ac:dyDescent="0.25">
      <c r="A3" s="160" t="s">
        <v>3811</v>
      </c>
    </row>
    <row r="5" spans="1:17" s="161" customFormat="1" x14ac:dyDescent="0.25">
      <c r="A5" s="260" t="s">
        <v>529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64"/>
      <c r="N5" s="164"/>
      <c r="O5" s="262" t="s">
        <v>530</v>
      </c>
      <c r="P5" s="263"/>
      <c r="Q5" s="263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517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74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25" x14ac:dyDescent="0.25">
      <c r="A3" s="168" t="s">
        <v>3811</v>
      </c>
      <c r="G3" s="179" t="s">
        <v>528</v>
      </c>
    </row>
    <row r="4" spans="1:25" x14ac:dyDescent="0.25">
      <c r="K4" s="264" t="s">
        <v>531</v>
      </c>
      <c r="L4" s="264"/>
      <c r="M4" s="264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117</v>
      </c>
      <c r="B6" s="29">
        <v>310</v>
      </c>
      <c r="C6" s="29" t="s">
        <v>191</v>
      </c>
      <c r="D6" s="29">
        <v>1254879</v>
      </c>
      <c r="E6" s="29">
        <v>0</v>
      </c>
      <c r="F6" s="29" t="s">
        <v>520</v>
      </c>
      <c r="G6" s="29" t="s">
        <v>3599</v>
      </c>
      <c r="H6" s="29">
        <v>3256</v>
      </c>
      <c r="I6" s="29" t="s">
        <v>3600</v>
      </c>
      <c r="J6" s="29">
        <v>325600</v>
      </c>
      <c r="K6" s="29">
        <v>3255</v>
      </c>
      <c r="L6" s="29" t="s">
        <v>3601</v>
      </c>
      <c r="M6" s="29">
        <v>325500</v>
      </c>
      <c r="O6" s="137" t="s">
        <v>3602</v>
      </c>
      <c r="P6" s="29">
        <v>1004</v>
      </c>
      <c r="Q6" s="29">
        <v>1030</v>
      </c>
      <c r="R6" s="29">
        <v>1122</v>
      </c>
      <c r="T6" s="29">
        <v>2597858.7540000002</v>
      </c>
      <c r="U6" s="29">
        <v>1212478.2609999999</v>
      </c>
      <c r="V6" s="29">
        <v>904</v>
      </c>
      <c r="W6" s="29">
        <v>2597857.085</v>
      </c>
      <c r="X6" s="29">
        <v>1212473.6340000001</v>
      </c>
    </row>
    <row r="7" spans="1:25" x14ac:dyDescent="0.25">
      <c r="A7" s="29" t="s">
        <v>117</v>
      </c>
      <c r="B7" s="29">
        <v>310</v>
      </c>
      <c r="C7" s="29" t="s">
        <v>191</v>
      </c>
      <c r="D7" s="29">
        <v>191922813</v>
      </c>
      <c r="E7" s="29">
        <v>0</v>
      </c>
      <c r="F7" s="29" t="s">
        <v>520</v>
      </c>
      <c r="G7" s="29" t="s">
        <v>3754</v>
      </c>
      <c r="H7" s="29">
        <v>3256</v>
      </c>
      <c r="I7" s="29" t="s">
        <v>3600</v>
      </c>
      <c r="J7" s="29">
        <v>325600</v>
      </c>
      <c r="K7" s="29">
        <v>3255</v>
      </c>
      <c r="L7" s="29" t="s">
        <v>3601</v>
      </c>
      <c r="M7" s="29">
        <v>325500</v>
      </c>
      <c r="O7" s="137" t="s">
        <v>3755</v>
      </c>
      <c r="P7" s="29">
        <v>1001</v>
      </c>
      <c r="Q7" s="29">
        <v>1060</v>
      </c>
      <c r="R7" s="29">
        <v>1242</v>
      </c>
      <c r="T7" s="29">
        <v>2597870</v>
      </c>
      <c r="U7" s="29">
        <v>1212625</v>
      </c>
      <c r="V7" s="29">
        <v>904</v>
      </c>
    </row>
    <row r="8" spans="1:25" x14ac:dyDescent="0.25">
      <c r="A8" s="29" t="s">
        <v>117</v>
      </c>
      <c r="B8" s="29">
        <v>310</v>
      </c>
      <c r="C8" s="29" t="s">
        <v>191</v>
      </c>
      <c r="D8" s="29">
        <v>191922856</v>
      </c>
      <c r="E8" s="29">
        <v>0</v>
      </c>
      <c r="F8" s="29" t="s">
        <v>520</v>
      </c>
      <c r="G8" s="29" t="s">
        <v>3756</v>
      </c>
      <c r="H8" s="29">
        <v>3256</v>
      </c>
      <c r="I8" s="29" t="s">
        <v>3600</v>
      </c>
      <c r="J8" s="29">
        <v>325600</v>
      </c>
      <c r="K8" s="29">
        <v>3255</v>
      </c>
      <c r="L8" s="29" t="s">
        <v>3601</v>
      </c>
      <c r="M8" s="29">
        <v>325500</v>
      </c>
      <c r="O8" s="137" t="s">
        <v>3755</v>
      </c>
      <c r="P8" s="29">
        <v>1001</v>
      </c>
      <c r="Q8" s="29">
        <v>1025</v>
      </c>
      <c r="R8" s="29">
        <v>1122</v>
      </c>
      <c r="T8" s="29">
        <v>2597860.156</v>
      </c>
      <c r="U8" s="29">
        <v>1212618.2579999999</v>
      </c>
      <c r="V8" s="29">
        <v>901</v>
      </c>
      <c r="W8" s="29">
        <v>2597858.855</v>
      </c>
      <c r="X8" s="29">
        <v>1212618.311</v>
      </c>
    </row>
    <row r="9" spans="1:25" x14ac:dyDescent="0.25">
      <c r="A9" s="29" t="s">
        <v>117</v>
      </c>
      <c r="B9" s="29">
        <v>351</v>
      </c>
      <c r="C9" s="29" t="s">
        <v>116</v>
      </c>
      <c r="D9" s="29">
        <v>1232819</v>
      </c>
      <c r="E9" s="29">
        <v>1</v>
      </c>
      <c r="F9" s="29" t="s">
        <v>2368</v>
      </c>
      <c r="G9" s="29" t="s">
        <v>1838</v>
      </c>
      <c r="H9" s="29">
        <v>3010</v>
      </c>
      <c r="I9" s="29" t="s">
        <v>116</v>
      </c>
      <c r="J9" s="29">
        <v>301000</v>
      </c>
      <c r="K9" s="29">
        <v>3008</v>
      </c>
      <c r="L9" s="29" t="s">
        <v>116</v>
      </c>
      <c r="M9" s="29">
        <v>300800</v>
      </c>
      <c r="O9" s="137" t="s">
        <v>2224</v>
      </c>
      <c r="P9" s="29">
        <v>1004</v>
      </c>
      <c r="Q9" s="29">
        <v>1060</v>
      </c>
      <c r="R9" s="29">
        <v>1264</v>
      </c>
      <c r="S9" s="29">
        <v>1976</v>
      </c>
      <c r="T9" s="29">
        <v>2599024.1370000001</v>
      </c>
      <c r="U9" s="29">
        <v>1199754.115</v>
      </c>
      <c r="V9" s="29">
        <v>901</v>
      </c>
    </row>
    <row r="10" spans="1:25" x14ac:dyDescent="0.25">
      <c r="A10" s="29" t="s">
        <v>117</v>
      </c>
      <c r="B10" s="29">
        <v>351</v>
      </c>
      <c r="C10" s="29" t="s">
        <v>116</v>
      </c>
      <c r="D10" s="29">
        <v>191682772</v>
      </c>
      <c r="E10" s="29">
        <v>0</v>
      </c>
      <c r="F10" s="29" t="s">
        <v>2470</v>
      </c>
      <c r="G10" s="29" t="s">
        <v>2471</v>
      </c>
      <c r="H10" s="29">
        <v>3007</v>
      </c>
      <c r="I10" s="29" t="s">
        <v>116</v>
      </c>
      <c r="J10" s="29">
        <v>300700</v>
      </c>
      <c r="K10" s="29">
        <v>3010</v>
      </c>
      <c r="L10" s="29" t="s">
        <v>116</v>
      </c>
      <c r="M10" s="29">
        <v>301000</v>
      </c>
      <c r="O10" s="137" t="s">
        <v>2472</v>
      </c>
      <c r="P10" s="29">
        <v>1004</v>
      </c>
      <c r="Q10" s="29">
        <v>1080</v>
      </c>
      <c r="R10" s="29">
        <v>1252</v>
      </c>
      <c r="T10" s="29">
        <v>2599207.5830000001</v>
      </c>
      <c r="U10" s="29">
        <v>1199599.375</v>
      </c>
      <c r="V10" s="29">
        <v>901</v>
      </c>
      <c r="W10" s="29">
        <v>2599231.5750000002</v>
      </c>
      <c r="X10" s="29">
        <v>1199604.8770000001</v>
      </c>
    </row>
    <row r="11" spans="1:25" x14ac:dyDescent="0.25">
      <c r="A11" s="29" t="s">
        <v>117</v>
      </c>
      <c r="B11" s="29">
        <v>351</v>
      </c>
      <c r="C11" s="29" t="s">
        <v>116</v>
      </c>
      <c r="D11" s="29">
        <v>192026009</v>
      </c>
      <c r="E11" s="29">
        <v>0</v>
      </c>
      <c r="F11" s="29" t="s">
        <v>2744</v>
      </c>
      <c r="G11" s="29" t="s">
        <v>2745</v>
      </c>
      <c r="H11" s="29">
        <v>3008</v>
      </c>
      <c r="I11" s="29" t="s">
        <v>116</v>
      </c>
      <c r="J11" s="29">
        <v>300800</v>
      </c>
      <c r="K11" s="29">
        <v>3010</v>
      </c>
      <c r="L11" s="29" t="s">
        <v>116</v>
      </c>
      <c r="M11" s="29">
        <v>301000</v>
      </c>
      <c r="O11" s="137" t="s">
        <v>2224</v>
      </c>
      <c r="P11" s="29">
        <v>1004</v>
      </c>
      <c r="Q11" s="29">
        <v>1060</v>
      </c>
      <c r="R11" s="29">
        <v>1264</v>
      </c>
      <c r="S11" s="29">
        <v>1988</v>
      </c>
      <c r="T11" s="29">
        <v>2598967.94</v>
      </c>
      <c r="U11" s="29">
        <v>1199791.2420000001</v>
      </c>
      <c r="V11" s="29">
        <v>905</v>
      </c>
    </row>
    <row r="12" spans="1:25" x14ac:dyDescent="0.25">
      <c r="A12" s="29" t="s">
        <v>117</v>
      </c>
      <c r="B12" s="29">
        <v>360</v>
      </c>
      <c r="C12" s="29" t="s">
        <v>222</v>
      </c>
      <c r="D12" s="29">
        <v>1283202</v>
      </c>
      <c r="E12" s="29">
        <v>0</v>
      </c>
      <c r="F12" s="29" t="s">
        <v>1780</v>
      </c>
      <c r="G12" s="29" t="s">
        <v>1781</v>
      </c>
      <c r="H12" s="29">
        <v>3034</v>
      </c>
      <c r="I12" s="29" t="s">
        <v>569</v>
      </c>
      <c r="J12" s="29">
        <v>303400</v>
      </c>
      <c r="K12" s="29">
        <v>3033</v>
      </c>
      <c r="L12" s="29" t="s">
        <v>1316</v>
      </c>
      <c r="M12" s="29">
        <v>303300</v>
      </c>
      <c r="O12" s="137" t="s">
        <v>1782</v>
      </c>
      <c r="P12" s="29">
        <v>1004</v>
      </c>
      <c r="Q12" s="29">
        <v>1021</v>
      </c>
      <c r="R12" s="29">
        <v>1110</v>
      </c>
      <c r="S12" s="29">
        <v>1940</v>
      </c>
      <c r="T12" s="29">
        <v>2591574.6579999998</v>
      </c>
      <c r="U12" s="29">
        <v>1201608.8729999999</v>
      </c>
      <c r="V12" s="29">
        <v>901</v>
      </c>
      <c r="W12" s="29">
        <v>2591574.4580000001</v>
      </c>
      <c r="X12" s="29">
        <v>1201607.23</v>
      </c>
    </row>
    <row r="13" spans="1:25" x14ac:dyDescent="0.25">
      <c r="A13" s="29" t="s">
        <v>117</v>
      </c>
      <c r="B13" s="29">
        <v>360</v>
      </c>
      <c r="C13" s="29" t="s">
        <v>222</v>
      </c>
      <c r="D13" s="29">
        <v>1283205</v>
      </c>
      <c r="E13" s="29">
        <v>0</v>
      </c>
      <c r="F13" s="29" t="s">
        <v>1780</v>
      </c>
      <c r="G13" s="29" t="s">
        <v>1783</v>
      </c>
      <c r="H13" s="29">
        <v>3034</v>
      </c>
      <c r="I13" s="29" t="s">
        <v>569</v>
      </c>
      <c r="J13" s="29">
        <v>303400</v>
      </c>
      <c r="K13" s="29">
        <v>3033</v>
      </c>
      <c r="L13" s="29" t="s">
        <v>1316</v>
      </c>
      <c r="M13" s="29">
        <v>303300</v>
      </c>
      <c r="O13" s="137" t="s">
        <v>1784</v>
      </c>
      <c r="P13" s="29">
        <v>1004</v>
      </c>
      <c r="Q13" s="29">
        <v>1030</v>
      </c>
      <c r="R13" s="29">
        <v>1110</v>
      </c>
      <c r="T13" s="29">
        <v>2592123.9610000001</v>
      </c>
      <c r="U13" s="29">
        <v>1201566.8670000001</v>
      </c>
      <c r="V13" s="29">
        <v>901</v>
      </c>
      <c r="W13" s="29">
        <v>2592125.2629999998</v>
      </c>
      <c r="X13" s="29">
        <v>1201569.537</v>
      </c>
    </row>
    <row r="14" spans="1:25" x14ac:dyDescent="0.25">
      <c r="A14" s="29" t="s">
        <v>117</v>
      </c>
      <c r="B14" s="29">
        <v>567</v>
      </c>
      <c r="C14" s="29" t="s">
        <v>310</v>
      </c>
      <c r="D14" s="29">
        <v>191084250</v>
      </c>
      <c r="E14" s="29">
        <v>0</v>
      </c>
      <c r="G14" s="29" t="s">
        <v>3429</v>
      </c>
      <c r="H14" s="29">
        <v>3723</v>
      </c>
      <c r="I14" s="29" t="s">
        <v>1769</v>
      </c>
      <c r="J14" s="29">
        <v>372300</v>
      </c>
      <c r="K14" s="29">
        <v>3713</v>
      </c>
      <c r="L14" s="29" t="s">
        <v>310</v>
      </c>
      <c r="M14" s="29">
        <v>371300</v>
      </c>
      <c r="O14" s="137" t="s">
        <v>3430</v>
      </c>
      <c r="P14" s="29">
        <v>1004</v>
      </c>
      <c r="Q14" s="29">
        <v>1040</v>
      </c>
      <c r="S14" s="29">
        <v>1960</v>
      </c>
      <c r="T14" s="29">
        <v>2622498</v>
      </c>
      <c r="U14" s="29">
        <v>1162005</v>
      </c>
      <c r="V14" s="29">
        <v>905</v>
      </c>
    </row>
    <row r="15" spans="1:25" x14ac:dyDescent="0.25">
      <c r="A15" s="29" t="s">
        <v>117</v>
      </c>
      <c r="B15" s="29">
        <v>567</v>
      </c>
      <c r="C15" s="29" t="s">
        <v>310</v>
      </c>
      <c r="D15" s="29">
        <v>191084271</v>
      </c>
      <c r="E15" s="29">
        <v>0</v>
      </c>
      <c r="G15" s="29" t="s">
        <v>3431</v>
      </c>
      <c r="H15" s="29">
        <v>3723</v>
      </c>
      <c r="I15" s="29" t="s">
        <v>1769</v>
      </c>
      <c r="J15" s="29">
        <v>372300</v>
      </c>
      <c r="K15" s="29">
        <v>3713</v>
      </c>
      <c r="L15" s="29" t="s">
        <v>310</v>
      </c>
      <c r="M15" s="29">
        <v>371300</v>
      </c>
      <c r="O15" s="137" t="s">
        <v>3430</v>
      </c>
      <c r="P15" s="29">
        <v>1004</v>
      </c>
      <c r="Q15" s="29">
        <v>1040</v>
      </c>
      <c r="S15" s="29">
        <v>1980</v>
      </c>
      <c r="T15" s="29">
        <v>2622276</v>
      </c>
      <c r="U15" s="29">
        <v>1162114</v>
      </c>
      <c r="V15" s="29">
        <v>905</v>
      </c>
    </row>
    <row r="16" spans="1:25" x14ac:dyDescent="0.25">
      <c r="A16" s="29" t="s">
        <v>117</v>
      </c>
      <c r="B16" s="29">
        <v>567</v>
      </c>
      <c r="C16" s="29" t="s">
        <v>310</v>
      </c>
      <c r="D16" s="29">
        <v>191084290</v>
      </c>
      <c r="E16" s="29">
        <v>0</v>
      </c>
      <c r="G16" s="29" t="s">
        <v>3432</v>
      </c>
      <c r="H16" s="29">
        <v>3714</v>
      </c>
      <c r="I16" s="29" t="s">
        <v>3433</v>
      </c>
      <c r="J16" s="29">
        <v>371403</v>
      </c>
      <c r="K16" s="29">
        <v>3713</v>
      </c>
      <c r="L16" s="29" t="s">
        <v>310</v>
      </c>
      <c r="M16" s="29">
        <v>371300</v>
      </c>
      <c r="O16" s="137" t="s">
        <v>3434</v>
      </c>
      <c r="P16" s="29">
        <v>1004</v>
      </c>
      <c r="Q16" s="29">
        <v>1040</v>
      </c>
      <c r="S16" s="29">
        <v>1970</v>
      </c>
      <c r="T16" s="29">
        <v>2616096</v>
      </c>
      <c r="U16" s="29">
        <v>1165629</v>
      </c>
      <c r="V16" s="29">
        <v>905</v>
      </c>
    </row>
    <row r="17" spans="1:22" x14ac:dyDescent="0.25">
      <c r="A17" s="29" t="s">
        <v>117</v>
      </c>
      <c r="B17" s="29">
        <v>567</v>
      </c>
      <c r="C17" s="29" t="s">
        <v>310</v>
      </c>
      <c r="D17" s="29">
        <v>191084791</v>
      </c>
      <c r="E17" s="29">
        <v>0</v>
      </c>
      <c r="G17" s="29" t="s">
        <v>1685</v>
      </c>
      <c r="H17" s="29">
        <v>3714</v>
      </c>
      <c r="I17" s="29" t="s">
        <v>3433</v>
      </c>
      <c r="J17" s="29">
        <v>371403</v>
      </c>
      <c r="K17" s="29">
        <v>3713</v>
      </c>
      <c r="L17" s="29" t="s">
        <v>310</v>
      </c>
      <c r="M17" s="29">
        <v>371300</v>
      </c>
      <c r="O17" s="137" t="s">
        <v>3435</v>
      </c>
      <c r="P17" s="29">
        <v>1004</v>
      </c>
      <c r="Q17" s="29">
        <v>1040</v>
      </c>
      <c r="S17" s="29">
        <v>1960</v>
      </c>
      <c r="T17" s="29">
        <v>2617625</v>
      </c>
      <c r="U17" s="29">
        <v>1164219</v>
      </c>
      <c r="V17" s="29">
        <v>905</v>
      </c>
    </row>
    <row r="18" spans="1:22" x14ac:dyDescent="0.25">
      <c r="A18" s="29" t="s">
        <v>117</v>
      </c>
      <c r="B18" s="29">
        <v>567</v>
      </c>
      <c r="C18" s="29" t="s">
        <v>310</v>
      </c>
      <c r="D18" s="29">
        <v>191085191</v>
      </c>
      <c r="E18" s="29">
        <v>0</v>
      </c>
      <c r="G18" s="29" t="s">
        <v>3436</v>
      </c>
      <c r="H18" s="29">
        <v>3723</v>
      </c>
      <c r="I18" s="29" t="s">
        <v>1769</v>
      </c>
      <c r="J18" s="29">
        <v>372300</v>
      </c>
      <c r="K18" s="29">
        <v>3713</v>
      </c>
      <c r="L18" s="29" t="s">
        <v>310</v>
      </c>
      <c r="M18" s="29">
        <v>371300</v>
      </c>
      <c r="O18" s="137" t="s">
        <v>3437</v>
      </c>
      <c r="P18" s="29">
        <v>1004</v>
      </c>
      <c r="Q18" s="29">
        <v>1040</v>
      </c>
      <c r="S18" s="29">
        <v>1960</v>
      </c>
      <c r="T18" s="29">
        <v>2619317</v>
      </c>
      <c r="U18" s="29">
        <v>1159765</v>
      </c>
      <c r="V18" s="29">
        <v>905</v>
      </c>
    </row>
    <row r="19" spans="1:22" x14ac:dyDescent="0.25">
      <c r="A19" s="29" t="s">
        <v>117</v>
      </c>
      <c r="B19" s="29">
        <v>567</v>
      </c>
      <c r="C19" s="29" t="s">
        <v>310</v>
      </c>
      <c r="D19" s="29">
        <v>191085732</v>
      </c>
      <c r="E19" s="29">
        <v>0</v>
      </c>
      <c r="G19" s="29" t="s">
        <v>3438</v>
      </c>
      <c r="H19" s="29">
        <v>3714</v>
      </c>
      <c r="I19" s="29" t="s">
        <v>3433</v>
      </c>
      <c r="J19" s="29">
        <v>371403</v>
      </c>
      <c r="K19" s="29">
        <v>3713</v>
      </c>
      <c r="L19" s="29" t="s">
        <v>310</v>
      </c>
      <c r="M19" s="29">
        <v>371300</v>
      </c>
      <c r="O19" s="137" t="s">
        <v>3439</v>
      </c>
      <c r="P19" s="29">
        <v>1004</v>
      </c>
      <c r="Q19" s="29">
        <v>1040</v>
      </c>
      <c r="S19" s="29">
        <v>1950</v>
      </c>
      <c r="T19" s="29">
        <v>2616037</v>
      </c>
      <c r="U19" s="29">
        <v>1165070</v>
      </c>
      <c r="V19" s="29">
        <v>905</v>
      </c>
    </row>
    <row r="20" spans="1:22" x14ac:dyDescent="0.25">
      <c r="A20" s="29" t="s">
        <v>117</v>
      </c>
      <c r="B20" s="29">
        <v>567</v>
      </c>
      <c r="C20" s="29" t="s">
        <v>310</v>
      </c>
      <c r="D20" s="29">
        <v>191085734</v>
      </c>
      <c r="E20" s="29">
        <v>0</v>
      </c>
      <c r="G20" s="29" t="s">
        <v>3440</v>
      </c>
      <c r="H20" s="29">
        <v>3714</v>
      </c>
      <c r="I20" s="29" t="s">
        <v>3433</v>
      </c>
      <c r="J20" s="29">
        <v>371403</v>
      </c>
      <c r="K20" s="29">
        <v>3713</v>
      </c>
      <c r="L20" s="29" t="s">
        <v>310</v>
      </c>
      <c r="M20" s="29">
        <v>371300</v>
      </c>
      <c r="O20" s="137" t="s">
        <v>3441</v>
      </c>
      <c r="P20" s="29">
        <v>1004</v>
      </c>
      <c r="Q20" s="29">
        <v>1040</v>
      </c>
      <c r="S20" s="29">
        <v>1950</v>
      </c>
      <c r="T20" s="29">
        <v>2616050</v>
      </c>
      <c r="U20" s="29">
        <v>1165022</v>
      </c>
      <c r="V20" s="29">
        <v>905</v>
      </c>
    </row>
    <row r="21" spans="1:22" x14ac:dyDescent="0.25">
      <c r="A21" s="29" t="s">
        <v>117</v>
      </c>
      <c r="B21" s="29">
        <v>567</v>
      </c>
      <c r="C21" s="29" t="s">
        <v>310</v>
      </c>
      <c r="D21" s="29">
        <v>191085750</v>
      </c>
      <c r="E21" s="29">
        <v>0</v>
      </c>
      <c r="G21" s="29" t="s">
        <v>3442</v>
      </c>
      <c r="H21" s="29">
        <v>3714</v>
      </c>
      <c r="I21" s="29" t="s">
        <v>3433</v>
      </c>
      <c r="J21" s="29">
        <v>371403</v>
      </c>
      <c r="K21" s="29">
        <v>3713</v>
      </c>
      <c r="L21" s="29" t="s">
        <v>310</v>
      </c>
      <c r="M21" s="29">
        <v>371300</v>
      </c>
      <c r="O21" s="137" t="s">
        <v>3443</v>
      </c>
      <c r="P21" s="29">
        <v>1004</v>
      </c>
      <c r="Q21" s="29">
        <v>1040</v>
      </c>
      <c r="S21" s="29">
        <v>1945</v>
      </c>
      <c r="T21" s="29">
        <v>2616254</v>
      </c>
      <c r="U21" s="29">
        <v>1164667</v>
      </c>
      <c r="V21" s="29">
        <v>905</v>
      </c>
    </row>
    <row r="22" spans="1:22" x14ac:dyDescent="0.25">
      <c r="A22" s="29" t="s">
        <v>117</v>
      </c>
      <c r="B22" s="29">
        <v>567</v>
      </c>
      <c r="C22" s="29" t="s">
        <v>310</v>
      </c>
      <c r="D22" s="29">
        <v>191085751</v>
      </c>
      <c r="E22" s="29">
        <v>0</v>
      </c>
      <c r="G22" s="29" t="s">
        <v>3444</v>
      </c>
      <c r="H22" s="29">
        <v>3714</v>
      </c>
      <c r="I22" s="29" t="s">
        <v>3433</v>
      </c>
      <c r="J22" s="29">
        <v>371403</v>
      </c>
      <c r="K22" s="29">
        <v>3713</v>
      </c>
      <c r="L22" s="29" t="s">
        <v>310</v>
      </c>
      <c r="M22" s="29">
        <v>371300</v>
      </c>
      <c r="O22" s="137" t="s">
        <v>3445</v>
      </c>
      <c r="P22" s="29">
        <v>1004</v>
      </c>
      <c r="Q22" s="29">
        <v>1040</v>
      </c>
      <c r="S22" s="29">
        <v>1950</v>
      </c>
      <c r="T22" s="29">
        <v>2616604</v>
      </c>
      <c r="U22" s="29">
        <v>1164669</v>
      </c>
      <c r="V22" s="29">
        <v>905</v>
      </c>
    </row>
    <row r="23" spans="1:22" x14ac:dyDescent="0.25">
      <c r="A23" s="29" t="s">
        <v>117</v>
      </c>
      <c r="B23" s="29">
        <v>567</v>
      </c>
      <c r="C23" s="29" t="s">
        <v>310</v>
      </c>
      <c r="D23" s="29">
        <v>191087790</v>
      </c>
      <c r="E23" s="29">
        <v>0</v>
      </c>
      <c r="G23" s="29" t="s">
        <v>3446</v>
      </c>
      <c r="H23" s="29">
        <v>3714</v>
      </c>
      <c r="I23" s="29" t="s">
        <v>3433</v>
      </c>
      <c r="J23" s="29">
        <v>371403</v>
      </c>
      <c r="K23" s="29">
        <v>3713</v>
      </c>
      <c r="L23" s="29" t="s">
        <v>310</v>
      </c>
      <c r="M23" s="29">
        <v>371300</v>
      </c>
      <c r="O23" s="137" t="s">
        <v>3447</v>
      </c>
      <c r="P23" s="29">
        <v>1004</v>
      </c>
      <c r="Q23" s="29">
        <v>1040</v>
      </c>
      <c r="S23" s="29">
        <v>1959</v>
      </c>
      <c r="T23" s="29">
        <v>2617465</v>
      </c>
      <c r="U23" s="29">
        <v>1164784</v>
      </c>
      <c r="V23" s="29">
        <v>905</v>
      </c>
    </row>
    <row r="24" spans="1:22" x14ac:dyDescent="0.25">
      <c r="A24" s="29" t="s">
        <v>117</v>
      </c>
      <c r="B24" s="29">
        <v>567</v>
      </c>
      <c r="C24" s="29" t="s">
        <v>310</v>
      </c>
      <c r="D24" s="29">
        <v>191087810</v>
      </c>
      <c r="E24" s="29">
        <v>0</v>
      </c>
      <c r="F24" s="29" t="s">
        <v>3603</v>
      </c>
      <c r="G24" s="29" t="s">
        <v>3448</v>
      </c>
      <c r="H24" s="29">
        <v>3711</v>
      </c>
      <c r="I24" s="29" t="s">
        <v>3449</v>
      </c>
      <c r="J24" s="29">
        <v>371102</v>
      </c>
      <c r="K24" s="29">
        <v>3713</v>
      </c>
      <c r="L24" s="29" t="s">
        <v>310</v>
      </c>
      <c r="M24" s="29">
        <v>371300</v>
      </c>
      <c r="O24" s="137" t="s">
        <v>3450</v>
      </c>
      <c r="P24" s="29">
        <v>1004</v>
      </c>
      <c r="Q24" s="29">
        <v>1040</v>
      </c>
      <c r="S24" s="29">
        <v>1970</v>
      </c>
      <c r="T24" s="29">
        <v>2617914</v>
      </c>
      <c r="U24" s="29">
        <v>1164712</v>
      </c>
      <c r="V24" s="29">
        <v>905</v>
      </c>
    </row>
    <row r="25" spans="1:22" x14ac:dyDescent="0.25">
      <c r="A25" s="29" t="s">
        <v>117</v>
      </c>
      <c r="B25" s="29">
        <v>567</v>
      </c>
      <c r="C25" s="29" t="s">
        <v>310</v>
      </c>
      <c r="D25" s="29">
        <v>191087855</v>
      </c>
      <c r="E25" s="29">
        <v>0</v>
      </c>
      <c r="G25" s="29" t="s">
        <v>3451</v>
      </c>
      <c r="H25" s="29">
        <v>3714</v>
      </c>
      <c r="I25" s="29" t="s">
        <v>3433</v>
      </c>
      <c r="J25" s="29">
        <v>371403</v>
      </c>
      <c r="K25" s="29">
        <v>3713</v>
      </c>
      <c r="L25" s="29" t="s">
        <v>310</v>
      </c>
      <c r="M25" s="29">
        <v>371300</v>
      </c>
      <c r="O25" s="137" t="s">
        <v>3452</v>
      </c>
      <c r="P25" s="29">
        <v>1004</v>
      </c>
      <c r="Q25" s="29">
        <v>1040</v>
      </c>
      <c r="S25" s="29">
        <v>1960</v>
      </c>
      <c r="T25" s="29">
        <v>2617786</v>
      </c>
      <c r="U25" s="29">
        <v>1164478</v>
      </c>
      <c r="V25" s="29">
        <v>905</v>
      </c>
    </row>
    <row r="26" spans="1:22" x14ac:dyDescent="0.25">
      <c r="A26" s="29" t="s">
        <v>117</v>
      </c>
      <c r="B26" s="29">
        <v>567</v>
      </c>
      <c r="C26" s="29" t="s">
        <v>310</v>
      </c>
      <c r="D26" s="29">
        <v>191087870</v>
      </c>
      <c r="E26" s="29">
        <v>0</v>
      </c>
      <c r="H26" s="29">
        <v>3714</v>
      </c>
      <c r="I26" s="29" t="s">
        <v>3433</v>
      </c>
      <c r="J26" s="29">
        <v>371403</v>
      </c>
      <c r="K26" s="29">
        <v>3713</v>
      </c>
      <c r="L26" s="29" t="s">
        <v>310</v>
      </c>
      <c r="M26" s="29">
        <v>371300</v>
      </c>
      <c r="O26" s="137" t="s">
        <v>3453</v>
      </c>
      <c r="P26" s="29">
        <v>1004</v>
      </c>
      <c r="Q26" s="29">
        <v>1040</v>
      </c>
      <c r="S26" s="29">
        <v>1970</v>
      </c>
      <c r="T26" s="29">
        <v>2617747</v>
      </c>
      <c r="U26" s="29">
        <v>1164686</v>
      </c>
      <c r="V26" s="29">
        <v>905</v>
      </c>
    </row>
    <row r="27" spans="1:22" x14ac:dyDescent="0.25">
      <c r="A27" s="29" t="s">
        <v>117</v>
      </c>
      <c r="B27" s="29">
        <v>567</v>
      </c>
      <c r="C27" s="29" t="s">
        <v>310</v>
      </c>
      <c r="D27" s="29">
        <v>191087950</v>
      </c>
      <c r="E27" s="29">
        <v>0</v>
      </c>
      <c r="G27" s="29" t="s">
        <v>3454</v>
      </c>
      <c r="H27" s="29">
        <v>3714</v>
      </c>
      <c r="I27" s="29" t="s">
        <v>3433</v>
      </c>
      <c r="J27" s="29">
        <v>371403</v>
      </c>
      <c r="K27" s="29">
        <v>3713</v>
      </c>
      <c r="L27" s="29" t="s">
        <v>310</v>
      </c>
      <c r="M27" s="29">
        <v>371300</v>
      </c>
      <c r="O27" s="137" t="s">
        <v>3455</v>
      </c>
      <c r="P27" s="29">
        <v>1004</v>
      </c>
      <c r="Q27" s="29">
        <v>1040</v>
      </c>
      <c r="S27" s="29">
        <v>1970</v>
      </c>
      <c r="T27" s="29">
        <v>2616543</v>
      </c>
      <c r="U27" s="29">
        <v>1164701</v>
      </c>
      <c r="V27" s="29">
        <v>905</v>
      </c>
    </row>
    <row r="28" spans="1:22" x14ac:dyDescent="0.25">
      <c r="A28" s="29" t="s">
        <v>117</v>
      </c>
      <c r="B28" s="29">
        <v>567</v>
      </c>
      <c r="C28" s="29" t="s">
        <v>310</v>
      </c>
      <c r="D28" s="29">
        <v>191087970</v>
      </c>
      <c r="E28" s="29">
        <v>0</v>
      </c>
      <c r="G28" s="29" t="s">
        <v>3456</v>
      </c>
      <c r="H28" s="29">
        <v>3714</v>
      </c>
      <c r="I28" s="29" t="s">
        <v>3433</v>
      </c>
      <c r="J28" s="29">
        <v>371403</v>
      </c>
      <c r="K28" s="29">
        <v>3713</v>
      </c>
      <c r="L28" s="29" t="s">
        <v>310</v>
      </c>
      <c r="M28" s="29">
        <v>371300</v>
      </c>
      <c r="O28" s="137" t="s">
        <v>3457</v>
      </c>
      <c r="P28" s="29">
        <v>1004</v>
      </c>
      <c r="Q28" s="29">
        <v>1040</v>
      </c>
      <c r="S28" s="29">
        <v>1957</v>
      </c>
      <c r="T28" s="29">
        <v>2617026</v>
      </c>
      <c r="U28" s="29">
        <v>1164971</v>
      </c>
      <c r="V28" s="29">
        <v>905</v>
      </c>
    </row>
    <row r="29" spans="1:22" x14ac:dyDescent="0.25">
      <c r="A29" s="29" t="s">
        <v>117</v>
      </c>
      <c r="B29" s="29">
        <v>567</v>
      </c>
      <c r="C29" s="29" t="s">
        <v>310</v>
      </c>
      <c r="D29" s="29">
        <v>191087990</v>
      </c>
      <c r="E29" s="29">
        <v>0</v>
      </c>
      <c r="G29" s="29" t="s">
        <v>3458</v>
      </c>
      <c r="H29" s="29">
        <v>3711</v>
      </c>
      <c r="I29" s="29" t="s">
        <v>3449</v>
      </c>
      <c r="J29" s="29">
        <v>371102</v>
      </c>
      <c r="K29" s="29">
        <v>3713</v>
      </c>
      <c r="L29" s="29" t="s">
        <v>310</v>
      </c>
      <c r="M29" s="29">
        <v>371300</v>
      </c>
      <c r="O29" s="137" t="s">
        <v>3459</v>
      </c>
      <c r="P29" s="29">
        <v>1004</v>
      </c>
      <c r="Q29" s="29">
        <v>1040</v>
      </c>
      <c r="S29" s="29">
        <v>1960</v>
      </c>
      <c r="T29" s="29">
        <v>2617514</v>
      </c>
      <c r="U29" s="29">
        <v>1165479</v>
      </c>
      <c r="V29" s="29">
        <v>905</v>
      </c>
    </row>
    <row r="30" spans="1:22" x14ac:dyDescent="0.25">
      <c r="A30" s="29" t="s">
        <v>117</v>
      </c>
      <c r="B30" s="29">
        <v>567</v>
      </c>
      <c r="C30" s="29" t="s">
        <v>310</v>
      </c>
      <c r="D30" s="29">
        <v>191088013</v>
      </c>
      <c r="E30" s="29">
        <v>0</v>
      </c>
      <c r="F30" s="29" t="s">
        <v>3604</v>
      </c>
      <c r="G30" s="29" t="s">
        <v>3460</v>
      </c>
      <c r="H30" s="29">
        <v>3714</v>
      </c>
      <c r="I30" s="29" t="s">
        <v>3433</v>
      </c>
      <c r="J30" s="29">
        <v>371403</v>
      </c>
      <c r="K30" s="29">
        <v>3713</v>
      </c>
      <c r="L30" s="29" t="s">
        <v>310</v>
      </c>
      <c r="M30" s="29">
        <v>371300</v>
      </c>
      <c r="O30" s="137" t="s">
        <v>3461</v>
      </c>
      <c r="P30" s="29">
        <v>1004</v>
      </c>
      <c r="Q30" s="29">
        <v>1040</v>
      </c>
      <c r="S30" s="29">
        <v>1970</v>
      </c>
      <c r="T30" s="29">
        <v>2617154</v>
      </c>
      <c r="U30" s="29">
        <v>1163722</v>
      </c>
      <c r="V30" s="29">
        <v>905</v>
      </c>
    </row>
    <row r="31" spans="1:22" x14ac:dyDescent="0.25">
      <c r="A31" s="29" t="s">
        <v>117</v>
      </c>
      <c r="B31" s="29">
        <v>567</v>
      </c>
      <c r="C31" s="29" t="s">
        <v>310</v>
      </c>
      <c r="D31" s="29">
        <v>191088015</v>
      </c>
      <c r="E31" s="29">
        <v>0</v>
      </c>
      <c r="F31" s="29" t="s">
        <v>3604</v>
      </c>
      <c r="G31" s="29" t="s">
        <v>3462</v>
      </c>
      <c r="H31" s="29">
        <v>3714</v>
      </c>
      <c r="I31" s="29" t="s">
        <v>3433</v>
      </c>
      <c r="J31" s="29">
        <v>371403</v>
      </c>
      <c r="K31" s="29">
        <v>3713</v>
      </c>
      <c r="L31" s="29" t="s">
        <v>310</v>
      </c>
      <c r="M31" s="29">
        <v>371300</v>
      </c>
      <c r="O31" s="137" t="s">
        <v>3461</v>
      </c>
      <c r="P31" s="29">
        <v>1004</v>
      </c>
      <c r="Q31" s="29">
        <v>1040</v>
      </c>
      <c r="S31" s="29">
        <v>1960</v>
      </c>
      <c r="T31" s="29">
        <v>2617272</v>
      </c>
      <c r="U31" s="29">
        <v>1163788</v>
      </c>
      <c r="V31" s="29">
        <v>905</v>
      </c>
    </row>
    <row r="32" spans="1:22" x14ac:dyDescent="0.25">
      <c r="A32" s="29" t="s">
        <v>117</v>
      </c>
      <c r="B32" s="29">
        <v>567</v>
      </c>
      <c r="C32" s="29" t="s">
        <v>310</v>
      </c>
      <c r="D32" s="29">
        <v>191088090</v>
      </c>
      <c r="E32" s="29">
        <v>0</v>
      </c>
      <c r="G32" s="29" t="s">
        <v>3463</v>
      </c>
      <c r="H32" s="29">
        <v>3714</v>
      </c>
      <c r="I32" s="29" t="s">
        <v>3433</v>
      </c>
      <c r="J32" s="29">
        <v>371403</v>
      </c>
      <c r="K32" s="29">
        <v>3713</v>
      </c>
      <c r="L32" s="29" t="s">
        <v>310</v>
      </c>
      <c r="M32" s="29">
        <v>371300</v>
      </c>
      <c r="O32" s="137" t="s">
        <v>3464</v>
      </c>
      <c r="P32" s="29">
        <v>1004</v>
      </c>
      <c r="Q32" s="29">
        <v>1040</v>
      </c>
      <c r="S32" s="29">
        <v>1970</v>
      </c>
      <c r="T32" s="29">
        <v>2616135</v>
      </c>
      <c r="U32" s="29">
        <v>1165117</v>
      </c>
      <c r="V32" s="29">
        <v>905</v>
      </c>
    </row>
    <row r="33" spans="1:22" x14ac:dyDescent="0.25">
      <c r="A33" s="29" t="s">
        <v>117</v>
      </c>
      <c r="B33" s="29">
        <v>567</v>
      </c>
      <c r="C33" s="29" t="s">
        <v>310</v>
      </c>
      <c r="D33" s="29">
        <v>191088190</v>
      </c>
      <c r="E33" s="29">
        <v>0</v>
      </c>
      <c r="G33" s="29" t="s">
        <v>3465</v>
      </c>
      <c r="H33" s="29">
        <v>3714</v>
      </c>
      <c r="I33" s="29" t="s">
        <v>3433</v>
      </c>
      <c r="J33" s="29">
        <v>371403</v>
      </c>
      <c r="K33" s="29">
        <v>3713</v>
      </c>
      <c r="L33" s="29" t="s">
        <v>310</v>
      </c>
      <c r="M33" s="29">
        <v>371300</v>
      </c>
      <c r="O33" s="137" t="s">
        <v>3466</v>
      </c>
      <c r="P33" s="29">
        <v>1004</v>
      </c>
      <c r="Q33" s="29">
        <v>1040</v>
      </c>
      <c r="S33" s="29">
        <v>1950</v>
      </c>
      <c r="T33" s="29">
        <v>2616991</v>
      </c>
      <c r="U33" s="29">
        <v>1163287</v>
      </c>
      <c r="V33" s="29">
        <v>905</v>
      </c>
    </row>
    <row r="34" spans="1:22" x14ac:dyDescent="0.25">
      <c r="A34" s="29" t="s">
        <v>117</v>
      </c>
      <c r="B34" s="29">
        <v>567</v>
      </c>
      <c r="C34" s="29" t="s">
        <v>310</v>
      </c>
      <c r="D34" s="29">
        <v>191088210</v>
      </c>
      <c r="E34" s="29">
        <v>0</v>
      </c>
      <c r="G34" s="29" t="s">
        <v>3467</v>
      </c>
      <c r="H34" s="29">
        <v>3714</v>
      </c>
      <c r="I34" s="29" t="s">
        <v>3433</v>
      </c>
      <c r="J34" s="29">
        <v>371403</v>
      </c>
      <c r="K34" s="29">
        <v>3713</v>
      </c>
      <c r="L34" s="29" t="s">
        <v>310</v>
      </c>
      <c r="M34" s="29">
        <v>371300</v>
      </c>
      <c r="O34" s="137" t="s">
        <v>3468</v>
      </c>
      <c r="P34" s="29">
        <v>1004</v>
      </c>
      <c r="Q34" s="29">
        <v>1040</v>
      </c>
      <c r="S34" s="29">
        <v>1962</v>
      </c>
      <c r="T34" s="29">
        <v>2617220</v>
      </c>
      <c r="U34" s="29">
        <v>1164478</v>
      </c>
      <c r="V34" s="29">
        <v>905</v>
      </c>
    </row>
    <row r="35" spans="1:22" x14ac:dyDescent="0.25">
      <c r="A35" s="29" t="s">
        <v>117</v>
      </c>
      <c r="B35" s="29">
        <v>567</v>
      </c>
      <c r="C35" s="29" t="s">
        <v>310</v>
      </c>
      <c r="D35" s="29">
        <v>191088350</v>
      </c>
      <c r="E35" s="29">
        <v>0</v>
      </c>
      <c r="G35" s="29" t="s">
        <v>2339</v>
      </c>
      <c r="H35" s="29">
        <v>3723</v>
      </c>
      <c r="I35" s="29" t="s">
        <v>1769</v>
      </c>
      <c r="J35" s="29">
        <v>372300</v>
      </c>
      <c r="K35" s="29">
        <v>3713</v>
      </c>
      <c r="L35" s="29" t="s">
        <v>310</v>
      </c>
      <c r="M35" s="29">
        <v>371300</v>
      </c>
      <c r="O35" s="137" t="s">
        <v>3469</v>
      </c>
      <c r="P35" s="29">
        <v>1004</v>
      </c>
      <c r="Q35" s="29">
        <v>1040</v>
      </c>
      <c r="S35" s="29">
        <v>1965</v>
      </c>
      <c r="T35" s="29">
        <v>2619862</v>
      </c>
      <c r="U35" s="29">
        <v>1160174</v>
      </c>
      <c r="V35" s="29">
        <v>905</v>
      </c>
    </row>
    <row r="36" spans="1:22" x14ac:dyDescent="0.25">
      <c r="A36" s="29" t="s">
        <v>117</v>
      </c>
      <c r="B36" s="29">
        <v>567</v>
      </c>
      <c r="C36" s="29" t="s">
        <v>310</v>
      </c>
      <c r="D36" s="29">
        <v>191088410</v>
      </c>
      <c r="E36" s="29">
        <v>0</v>
      </c>
      <c r="G36" s="29" t="s">
        <v>3470</v>
      </c>
      <c r="H36" s="29">
        <v>3723</v>
      </c>
      <c r="I36" s="29" t="s">
        <v>1769</v>
      </c>
      <c r="J36" s="29">
        <v>372300</v>
      </c>
      <c r="K36" s="29">
        <v>3713</v>
      </c>
      <c r="L36" s="29" t="s">
        <v>310</v>
      </c>
      <c r="M36" s="29">
        <v>371300</v>
      </c>
      <c r="O36" s="137" t="s">
        <v>3471</v>
      </c>
      <c r="P36" s="29">
        <v>1004</v>
      </c>
      <c r="Q36" s="29">
        <v>1040</v>
      </c>
      <c r="S36" s="29">
        <v>1958</v>
      </c>
      <c r="T36" s="29">
        <v>2619305</v>
      </c>
      <c r="U36" s="29">
        <v>1160044</v>
      </c>
      <c r="V36" s="29">
        <v>905</v>
      </c>
    </row>
    <row r="37" spans="1:22" x14ac:dyDescent="0.25">
      <c r="A37" s="29" t="s">
        <v>117</v>
      </c>
      <c r="B37" s="29">
        <v>567</v>
      </c>
      <c r="C37" s="29" t="s">
        <v>310</v>
      </c>
      <c r="D37" s="29">
        <v>191089251</v>
      </c>
      <c r="E37" s="29">
        <v>0</v>
      </c>
      <c r="G37" s="29" t="s">
        <v>3472</v>
      </c>
      <c r="H37" s="29">
        <v>3714</v>
      </c>
      <c r="I37" s="29" t="s">
        <v>3433</v>
      </c>
      <c r="J37" s="29">
        <v>371403</v>
      </c>
      <c r="K37" s="29">
        <v>3713</v>
      </c>
      <c r="L37" s="29" t="s">
        <v>310</v>
      </c>
      <c r="M37" s="29">
        <v>371300</v>
      </c>
      <c r="O37" s="137" t="s">
        <v>3473</v>
      </c>
      <c r="P37" s="29">
        <v>1004</v>
      </c>
      <c r="Q37" s="29">
        <v>1040</v>
      </c>
      <c r="S37" s="29">
        <v>1960</v>
      </c>
      <c r="T37" s="29">
        <v>2616912</v>
      </c>
      <c r="U37" s="29">
        <v>1163551</v>
      </c>
      <c r="V37" s="29">
        <v>905</v>
      </c>
    </row>
    <row r="38" spans="1:22" x14ac:dyDescent="0.25">
      <c r="A38" s="29" t="s">
        <v>117</v>
      </c>
      <c r="B38" s="29">
        <v>567</v>
      </c>
      <c r="C38" s="29" t="s">
        <v>310</v>
      </c>
      <c r="D38" s="29">
        <v>191089350</v>
      </c>
      <c r="E38" s="29">
        <v>0</v>
      </c>
      <c r="G38" s="29" t="s">
        <v>3474</v>
      </c>
      <c r="H38" s="29">
        <v>3714</v>
      </c>
      <c r="I38" s="29" t="s">
        <v>3433</v>
      </c>
      <c r="J38" s="29">
        <v>371403</v>
      </c>
      <c r="K38" s="29">
        <v>3713</v>
      </c>
      <c r="L38" s="29" t="s">
        <v>310</v>
      </c>
      <c r="M38" s="29">
        <v>371300</v>
      </c>
      <c r="O38" s="137" t="s">
        <v>3475</v>
      </c>
      <c r="P38" s="29">
        <v>1004</v>
      </c>
      <c r="Q38" s="29">
        <v>1040</v>
      </c>
      <c r="S38" s="29">
        <v>1960</v>
      </c>
      <c r="T38" s="29">
        <v>2616737</v>
      </c>
      <c r="U38" s="29">
        <v>1163694</v>
      </c>
      <c r="V38" s="29">
        <v>905</v>
      </c>
    </row>
    <row r="39" spans="1:22" x14ac:dyDescent="0.25">
      <c r="A39" s="29" t="s">
        <v>117</v>
      </c>
      <c r="B39" s="29">
        <v>567</v>
      </c>
      <c r="C39" s="29" t="s">
        <v>310</v>
      </c>
      <c r="D39" s="29">
        <v>191089410</v>
      </c>
      <c r="E39" s="29">
        <v>0</v>
      </c>
      <c r="G39" s="29" t="s">
        <v>3476</v>
      </c>
      <c r="H39" s="29">
        <v>3714</v>
      </c>
      <c r="I39" s="29" t="s">
        <v>3433</v>
      </c>
      <c r="J39" s="29">
        <v>371403</v>
      </c>
      <c r="K39" s="29">
        <v>3713</v>
      </c>
      <c r="L39" s="29" t="s">
        <v>310</v>
      </c>
      <c r="M39" s="29">
        <v>371300</v>
      </c>
      <c r="O39" s="137" t="s">
        <v>3477</v>
      </c>
      <c r="P39" s="29">
        <v>1004</v>
      </c>
      <c r="Q39" s="29">
        <v>1040</v>
      </c>
      <c r="S39" s="29">
        <v>1980</v>
      </c>
      <c r="T39" s="29">
        <v>2616075</v>
      </c>
      <c r="U39" s="29">
        <v>1165073</v>
      </c>
      <c r="V39" s="29">
        <v>905</v>
      </c>
    </row>
    <row r="40" spans="1:22" x14ac:dyDescent="0.25">
      <c r="A40" s="29" t="s">
        <v>117</v>
      </c>
      <c r="B40" s="29">
        <v>567</v>
      </c>
      <c r="C40" s="29" t="s">
        <v>310</v>
      </c>
      <c r="D40" s="29">
        <v>191089430</v>
      </c>
      <c r="E40" s="29">
        <v>0</v>
      </c>
      <c r="G40" s="29" t="s">
        <v>3478</v>
      </c>
      <c r="H40" s="29">
        <v>3714</v>
      </c>
      <c r="I40" s="29" t="s">
        <v>3433</v>
      </c>
      <c r="J40" s="29">
        <v>371403</v>
      </c>
      <c r="K40" s="29">
        <v>3713</v>
      </c>
      <c r="L40" s="29" t="s">
        <v>310</v>
      </c>
      <c r="M40" s="29">
        <v>371300</v>
      </c>
      <c r="O40" s="137" t="s">
        <v>3479</v>
      </c>
      <c r="P40" s="29">
        <v>1004</v>
      </c>
      <c r="Q40" s="29">
        <v>1040</v>
      </c>
      <c r="S40" s="29">
        <v>1985</v>
      </c>
      <c r="T40" s="29">
        <v>2616498</v>
      </c>
      <c r="U40" s="29">
        <v>1164762</v>
      </c>
      <c r="V40" s="29">
        <v>905</v>
      </c>
    </row>
    <row r="41" spans="1:22" x14ac:dyDescent="0.25">
      <c r="A41" s="29" t="s">
        <v>117</v>
      </c>
      <c r="B41" s="29">
        <v>567</v>
      </c>
      <c r="C41" s="29" t="s">
        <v>310</v>
      </c>
      <c r="D41" s="29">
        <v>191089570</v>
      </c>
      <c r="E41" s="29">
        <v>0</v>
      </c>
      <c r="G41" s="29" t="s">
        <v>3480</v>
      </c>
      <c r="H41" s="29">
        <v>3723</v>
      </c>
      <c r="I41" s="29" t="s">
        <v>1769</v>
      </c>
      <c r="J41" s="29">
        <v>372300</v>
      </c>
      <c r="K41" s="29">
        <v>3713</v>
      </c>
      <c r="L41" s="29" t="s">
        <v>310</v>
      </c>
      <c r="M41" s="29">
        <v>371300</v>
      </c>
      <c r="O41" s="137" t="s">
        <v>3481</v>
      </c>
      <c r="P41" s="29">
        <v>1004</v>
      </c>
      <c r="Q41" s="29">
        <v>1040</v>
      </c>
      <c r="S41" s="29">
        <v>1960</v>
      </c>
      <c r="T41" s="29">
        <v>2618881</v>
      </c>
      <c r="U41" s="29">
        <v>1158655</v>
      </c>
      <c r="V41" s="29">
        <v>905</v>
      </c>
    </row>
    <row r="42" spans="1:22" x14ac:dyDescent="0.25">
      <c r="A42" s="29" t="s">
        <v>117</v>
      </c>
      <c r="B42" s="29">
        <v>567</v>
      </c>
      <c r="C42" s="29" t="s">
        <v>310</v>
      </c>
      <c r="D42" s="29">
        <v>191089832</v>
      </c>
      <c r="E42" s="29">
        <v>0</v>
      </c>
      <c r="G42" s="29" t="s">
        <v>3482</v>
      </c>
      <c r="H42" s="29">
        <v>3714</v>
      </c>
      <c r="I42" s="29" t="s">
        <v>3433</v>
      </c>
      <c r="J42" s="29">
        <v>371403</v>
      </c>
      <c r="K42" s="29">
        <v>3713</v>
      </c>
      <c r="L42" s="29" t="s">
        <v>310</v>
      </c>
      <c r="M42" s="29">
        <v>371300</v>
      </c>
      <c r="O42" s="137" t="s">
        <v>3483</v>
      </c>
      <c r="P42" s="29">
        <v>1004</v>
      </c>
      <c r="Q42" s="29">
        <v>1040</v>
      </c>
      <c r="S42" s="29">
        <v>1965</v>
      </c>
      <c r="T42" s="29">
        <v>2616898</v>
      </c>
      <c r="U42" s="29">
        <v>1164461</v>
      </c>
      <c r="V42" s="29">
        <v>905</v>
      </c>
    </row>
    <row r="43" spans="1:22" x14ac:dyDescent="0.25">
      <c r="A43" s="29" t="s">
        <v>117</v>
      </c>
      <c r="B43" s="29">
        <v>567</v>
      </c>
      <c r="C43" s="29" t="s">
        <v>310</v>
      </c>
      <c r="D43" s="29">
        <v>191089870</v>
      </c>
      <c r="E43" s="29">
        <v>0</v>
      </c>
      <c r="G43" s="29" t="s">
        <v>3484</v>
      </c>
      <c r="H43" s="29">
        <v>3714</v>
      </c>
      <c r="I43" s="29" t="s">
        <v>3433</v>
      </c>
      <c r="J43" s="29">
        <v>371403</v>
      </c>
      <c r="K43" s="29">
        <v>3713</v>
      </c>
      <c r="L43" s="29" t="s">
        <v>310</v>
      </c>
      <c r="M43" s="29">
        <v>371300</v>
      </c>
      <c r="O43" s="137" t="s">
        <v>3485</v>
      </c>
      <c r="P43" s="29">
        <v>1004</v>
      </c>
      <c r="Q43" s="29">
        <v>1040</v>
      </c>
      <c r="R43" s="29">
        <v>1271</v>
      </c>
      <c r="S43" s="29">
        <v>1969</v>
      </c>
      <c r="T43" s="29">
        <v>2617407</v>
      </c>
      <c r="U43" s="29">
        <v>1164027</v>
      </c>
      <c r="V43" s="29">
        <v>905</v>
      </c>
    </row>
    <row r="44" spans="1:22" x14ac:dyDescent="0.25">
      <c r="A44" s="29" t="s">
        <v>117</v>
      </c>
      <c r="B44" s="29">
        <v>567</v>
      </c>
      <c r="C44" s="29" t="s">
        <v>310</v>
      </c>
      <c r="D44" s="29">
        <v>191089872</v>
      </c>
      <c r="E44" s="29">
        <v>0</v>
      </c>
      <c r="G44" s="29" t="s">
        <v>3486</v>
      </c>
      <c r="H44" s="29">
        <v>3714</v>
      </c>
      <c r="I44" s="29" t="s">
        <v>3433</v>
      </c>
      <c r="J44" s="29">
        <v>371403</v>
      </c>
      <c r="K44" s="29">
        <v>3713</v>
      </c>
      <c r="L44" s="29" t="s">
        <v>310</v>
      </c>
      <c r="M44" s="29">
        <v>371300</v>
      </c>
      <c r="O44" s="137" t="s">
        <v>3487</v>
      </c>
      <c r="P44" s="29">
        <v>1004</v>
      </c>
      <c r="Q44" s="29">
        <v>1040</v>
      </c>
      <c r="S44" s="29">
        <v>1950</v>
      </c>
      <c r="T44" s="29">
        <v>2617761</v>
      </c>
      <c r="U44" s="29">
        <v>1164568</v>
      </c>
      <c r="V44" s="29">
        <v>905</v>
      </c>
    </row>
    <row r="45" spans="1:22" x14ac:dyDescent="0.25">
      <c r="A45" s="29" t="s">
        <v>117</v>
      </c>
      <c r="B45" s="29">
        <v>567</v>
      </c>
      <c r="C45" s="29" t="s">
        <v>310</v>
      </c>
      <c r="D45" s="29">
        <v>191089873</v>
      </c>
      <c r="E45" s="29">
        <v>0</v>
      </c>
      <c r="G45" s="29" t="s">
        <v>3488</v>
      </c>
      <c r="H45" s="29">
        <v>3714</v>
      </c>
      <c r="I45" s="29" t="s">
        <v>3433</v>
      </c>
      <c r="J45" s="29">
        <v>371403</v>
      </c>
      <c r="K45" s="29">
        <v>3713</v>
      </c>
      <c r="L45" s="29" t="s">
        <v>310</v>
      </c>
      <c r="M45" s="29">
        <v>371300</v>
      </c>
      <c r="O45" s="137" t="s">
        <v>3489</v>
      </c>
      <c r="P45" s="29">
        <v>1004</v>
      </c>
      <c r="Q45" s="29">
        <v>1040</v>
      </c>
      <c r="S45" s="29">
        <v>1960</v>
      </c>
      <c r="T45" s="29">
        <v>2617214</v>
      </c>
      <c r="U45" s="29">
        <v>1164880</v>
      </c>
      <c r="V45" s="29">
        <v>905</v>
      </c>
    </row>
    <row r="46" spans="1:22" x14ac:dyDescent="0.25">
      <c r="A46" s="29" t="s">
        <v>117</v>
      </c>
      <c r="B46" s="29">
        <v>567</v>
      </c>
      <c r="C46" s="29" t="s">
        <v>310</v>
      </c>
      <c r="D46" s="29">
        <v>191089874</v>
      </c>
      <c r="E46" s="29">
        <v>0</v>
      </c>
      <c r="G46" s="29" t="s">
        <v>3490</v>
      </c>
      <c r="H46" s="29">
        <v>3714</v>
      </c>
      <c r="I46" s="29" t="s">
        <v>3433</v>
      </c>
      <c r="J46" s="29">
        <v>371403</v>
      </c>
      <c r="K46" s="29">
        <v>3713</v>
      </c>
      <c r="L46" s="29" t="s">
        <v>310</v>
      </c>
      <c r="M46" s="29">
        <v>371300</v>
      </c>
      <c r="O46" s="137" t="s">
        <v>3491</v>
      </c>
      <c r="P46" s="29">
        <v>1004</v>
      </c>
      <c r="Q46" s="29">
        <v>1040</v>
      </c>
      <c r="S46" s="29">
        <v>1987</v>
      </c>
      <c r="T46" s="29">
        <v>2616928</v>
      </c>
      <c r="U46" s="29">
        <v>1165072</v>
      </c>
      <c r="V46" s="29">
        <v>905</v>
      </c>
    </row>
    <row r="47" spans="1:22" x14ac:dyDescent="0.25">
      <c r="A47" s="29" t="s">
        <v>117</v>
      </c>
      <c r="B47" s="29">
        <v>567</v>
      </c>
      <c r="C47" s="29" t="s">
        <v>310</v>
      </c>
      <c r="D47" s="29">
        <v>191089990</v>
      </c>
      <c r="E47" s="29">
        <v>0</v>
      </c>
      <c r="G47" s="29" t="s">
        <v>3492</v>
      </c>
      <c r="H47" s="29">
        <v>3714</v>
      </c>
      <c r="I47" s="29" t="s">
        <v>3433</v>
      </c>
      <c r="J47" s="29">
        <v>371403</v>
      </c>
      <c r="K47" s="29">
        <v>3713</v>
      </c>
      <c r="L47" s="29" t="s">
        <v>310</v>
      </c>
      <c r="M47" s="29">
        <v>371300</v>
      </c>
      <c r="O47" s="137" t="s">
        <v>3493</v>
      </c>
      <c r="P47" s="29">
        <v>1004</v>
      </c>
      <c r="Q47" s="29">
        <v>1040</v>
      </c>
      <c r="S47" s="29">
        <v>1960</v>
      </c>
      <c r="T47" s="29">
        <v>2617089</v>
      </c>
      <c r="U47" s="29">
        <v>1163444</v>
      </c>
      <c r="V47" s="29">
        <v>905</v>
      </c>
    </row>
    <row r="48" spans="1:22" x14ac:dyDescent="0.25">
      <c r="A48" s="29" t="s">
        <v>117</v>
      </c>
      <c r="B48" s="29">
        <v>567</v>
      </c>
      <c r="C48" s="29" t="s">
        <v>310</v>
      </c>
      <c r="D48" s="29">
        <v>191090011</v>
      </c>
      <c r="E48" s="29">
        <v>0</v>
      </c>
      <c r="G48" s="29" t="s">
        <v>1768</v>
      </c>
      <c r="H48" s="29">
        <v>3723</v>
      </c>
      <c r="I48" s="29" t="s">
        <v>1769</v>
      </c>
      <c r="J48" s="29">
        <v>372300</v>
      </c>
      <c r="K48" s="29">
        <v>3713</v>
      </c>
      <c r="L48" s="29" t="s">
        <v>310</v>
      </c>
      <c r="M48" s="29">
        <v>371300</v>
      </c>
      <c r="O48" s="137" t="s">
        <v>1770</v>
      </c>
      <c r="P48" s="29">
        <v>1004</v>
      </c>
      <c r="Q48" s="29">
        <v>1040</v>
      </c>
      <c r="S48" s="29">
        <v>1975</v>
      </c>
      <c r="T48" s="29">
        <v>2618785</v>
      </c>
      <c r="U48" s="29">
        <v>1160392</v>
      </c>
      <c r="V48" s="29">
        <v>905</v>
      </c>
    </row>
    <row r="49" spans="1:22" x14ac:dyDescent="0.25">
      <c r="A49" s="29" t="s">
        <v>117</v>
      </c>
      <c r="B49" s="29">
        <v>567</v>
      </c>
      <c r="C49" s="29" t="s">
        <v>310</v>
      </c>
      <c r="D49" s="29">
        <v>191090490</v>
      </c>
      <c r="E49" s="29">
        <v>0</v>
      </c>
      <c r="G49" s="29" t="s">
        <v>3494</v>
      </c>
      <c r="H49" s="29">
        <v>3714</v>
      </c>
      <c r="I49" s="29" t="s">
        <v>3433</v>
      </c>
      <c r="J49" s="29">
        <v>371403</v>
      </c>
      <c r="K49" s="29">
        <v>3713</v>
      </c>
      <c r="L49" s="29" t="s">
        <v>310</v>
      </c>
      <c r="M49" s="29">
        <v>371300</v>
      </c>
      <c r="O49" s="137" t="s">
        <v>3495</v>
      </c>
      <c r="P49" s="29">
        <v>1004</v>
      </c>
      <c r="Q49" s="29">
        <v>1040</v>
      </c>
      <c r="S49" s="29">
        <v>1959</v>
      </c>
      <c r="T49" s="29">
        <v>2617063</v>
      </c>
      <c r="U49" s="29">
        <v>1164514</v>
      </c>
      <c r="V49" s="29">
        <v>905</v>
      </c>
    </row>
    <row r="50" spans="1:22" x14ac:dyDescent="0.25">
      <c r="A50" s="29" t="s">
        <v>117</v>
      </c>
      <c r="B50" s="29">
        <v>567</v>
      </c>
      <c r="C50" s="29" t="s">
        <v>310</v>
      </c>
      <c r="D50" s="29">
        <v>191091310</v>
      </c>
      <c r="E50" s="29">
        <v>0</v>
      </c>
      <c r="G50" s="29" t="s">
        <v>3496</v>
      </c>
      <c r="H50" s="29">
        <v>3714</v>
      </c>
      <c r="I50" s="29" t="s">
        <v>3433</v>
      </c>
      <c r="J50" s="29">
        <v>371403</v>
      </c>
      <c r="K50" s="29">
        <v>3713</v>
      </c>
      <c r="L50" s="29" t="s">
        <v>310</v>
      </c>
      <c r="M50" s="29">
        <v>371300</v>
      </c>
      <c r="O50" s="137" t="s">
        <v>3497</v>
      </c>
      <c r="P50" s="29">
        <v>1004</v>
      </c>
      <c r="Q50" s="29">
        <v>1040</v>
      </c>
      <c r="S50" s="29">
        <v>1950</v>
      </c>
      <c r="T50" s="29">
        <v>2616779</v>
      </c>
      <c r="U50" s="29">
        <v>1163543</v>
      </c>
      <c r="V50" s="29">
        <v>905</v>
      </c>
    </row>
    <row r="51" spans="1:22" x14ac:dyDescent="0.25">
      <c r="A51" s="29" t="s">
        <v>117</v>
      </c>
      <c r="B51" s="29">
        <v>567</v>
      </c>
      <c r="C51" s="29" t="s">
        <v>310</v>
      </c>
      <c r="D51" s="29">
        <v>191091570</v>
      </c>
      <c r="E51" s="29">
        <v>0</v>
      </c>
      <c r="G51" s="29" t="s">
        <v>3498</v>
      </c>
      <c r="H51" s="29">
        <v>3722</v>
      </c>
      <c r="I51" s="29" t="s">
        <v>3499</v>
      </c>
      <c r="J51" s="29">
        <v>372200</v>
      </c>
      <c r="K51" s="29">
        <v>3713</v>
      </c>
      <c r="L51" s="29" t="s">
        <v>310</v>
      </c>
      <c r="M51" s="29">
        <v>371300</v>
      </c>
      <c r="O51" s="137" t="s">
        <v>546</v>
      </c>
      <c r="P51" s="29">
        <v>1004</v>
      </c>
      <c r="Q51" s="29">
        <v>1021</v>
      </c>
      <c r="R51" s="29">
        <v>1110</v>
      </c>
      <c r="S51" s="29">
        <v>1970</v>
      </c>
      <c r="T51" s="29">
        <v>2622197</v>
      </c>
      <c r="U51" s="29">
        <v>1163776</v>
      </c>
      <c r="V51" s="29">
        <v>905</v>
      </c>
    </row>
    <row r="52" spans="1:22" x14ac:dyDescent="0.25">
      <c r="A52" s="29" t="s">
        <v>117</v>
      </c>
      <c r="B52" s="29">
        <v>567</v>
      </c>
      <c r="C52" s="29" t="s">
        <v>310</v>
      </c>
      <c r="D52" s="29">
        <v>191091870</v>
      </c>
      <c r="E52" s="29">
        <v>0</v>
      </c>
      <c r="G52" s="29" t="s">
        <v>3500</v>
      </c>
      <c r="H52" s="29">
        <v>3711</v>
      </c>
      <c r="I52" s="29" t="s">
        <v>3449</v>
      </c>
      <c r="J52" s="29">
        <v>371102</v>
      </c>
      <c r="K52" s="29">
        <v>3713</v>
      </c>
      <c r="L52" s="29" t="s">
        <v>310</v>
      </c>
      <c r="M52" s="29">
        <v>371300</v>
      </c>
      <c r="O52" s="137" t="s">
        <v>3501</v>
      </c>
      <c r="P52" s="29">
        <v>1004</v>
      </c>
      <c r="Q52" s="29">
        <v>1040</v>
      </c>
      <c r="S52" s="29">
        <v>1968</v>
      </c>
      <c r="T52" s="29">
        <v>2618075</v>
      </c>
      <c r="U52" s="29">
        <v>1164980</v>
      </c>
      <c r="V52" s="29">
        <v>905</v>
      </c>
    </row>
    <row r="53" spans="1:22" x14ac:dyDescent="0.25">
      <c r="A53" s="29" t="s">
        <v>117</v>
      </c>
      <c r="B53" s="29">
        <v>567</v>
      </c>
      <c r="C53" s="29" t="s">
        <v>310</v>
      </c>
      <c r="D53" s="29">
        <v>191091951</v>
      </c>
      <c r="E53" s="29">
        <v>0</v>
      </c>
      <c r="G53" s="29" t="s">
        <v>3502</v>
      </c>
      <c r="H53" s="29">
        <v>3723</v>
      </c>
      <c r="I53" s="29" t="s">
        <v>1769</v>
      </c>
      <c r="J53" s="29">
        <v>372300</v>
      </c>
      <c r="K53" s="29">
        <v>3713</v>
      </c>
      <c r="L53" s="29" t="s">
        <v>310</v>
      </c>
      <c r="M53" s="29">
        <v>371300</v>
      </c>
      <c r="O53" s="137" t="s">
        <v>3503</v>
      </c>
      <c r="P53" s="29">
        <v>1004</v>
      </c>
      <c r="Q53" s="29">
        <v>1021</v>
      </c>
      <c r="R53" s="29">
        <v>1110</v>
      </c>
      <c r="S53" s="29">
        <v>1975</v>
      </c>
      <c r="T53" s="29">
        <v>2623423</v>
      </c>
      <c r="U53" s="29">
        <v>1162552</v>
      </c>
      <c r="V53" s="29">
        <v>905</v>
      </c>
    </row>
    <row r="54" spans="1:22" x14ac:dyDescent="0.25">
      <c r="A54" s="29" t="s">
        <v>117</v>
      </c>
      <c r="B54" s="29">
        <v>567</v>
      </c>
      <c r="C54" s="29" t="s">
        <v>310</v>
      </c>
      <c r="D54" s="29">
        <v>191091970</v>
      </c>
      <c r="E54" s="29">
        <v>0</v>
      </c>
      <c r="G54" s="29" t="s">
        <v>3504</v>
      </c>
      <c r="H54" s="29">
        <v>3723</v>
      </c>
      <c r="I54" s="29" t="s">
        <v>1769</v>
      </c>
      <c r="J54" s="29">
        <v>372300</v>
      </c>
      <c r="K54" s="29">
        <v>3713</v>
      </c>
      <c r="L54" s="29" t="s">
        <v>310</v>
      </c>
      <c r="M54" s="29">
        <v>371300</v>
      </c>
      <c r="O54" s="137" t="s">
        <v>3503</v>
      </c>
      <c r="P54" s="29">
        <v>1004</v>
      </c>
      <c r="Q54" s="29">
        <v>1040</v>
      </c>
      <c r="S54" s="29">
        <v>1975</v>
      </c>
      <c r="T54" s="29">
        <v>2623494.966</v>
      </c>
      <c r="U54" s="29">
        <v>1162579.794</v>
      </c>
      <c r="V54" s="29">
        <v>905</v>
      </c>
    </row>
    <row r="55" spans="1:22" x14ac:dyDescent="0.25">
      <c r="A55" s="29" t="s">
        <v>117</v>
      </c>
      <c r="B55" s="29">
        <v>567</v>
      </c>
      <c r="C55" s="29" t="s">
        <v>310</v>
      </c>
      <c r="D55" s="29">
        <v>191092290</v>
      </c>
      <c r="E55" s="29">
        <v>0</v>
      </c>
      <c r="G55" s="29" t="s">
        <v>3505</v>
      </c>
      <c r="H55" s="29">
        <v>3711</v>
      </c>
      <c r="I55" s="29" t="s">
        <v>3449</v>
      </c>
      <c r="J55" s="29">
        <v>371102</v>
      </c>
      <c r="K55" s="29">
        <v>3713</v>
      </c>
      <c r="L55" s="29" t="s">
        <v>310</v>
      </c>
      <c r="M55" s="29">
        <v>371300</v>
      </c>
      <c r="O55" s="137" t="s">
        <v>3506</v>
      </c>
      <c r="P55" s="29">
        <v>1004</v>
      </c>
      <c r="Q55" s="29">
        <v>1040</v>
      </c>
      <c r="S55" s="29">
        <v>1959</v>
      </c>
      <c r="T55" s="29">
        <v>2617338</v>
      </c>
      <c r="U55" s="29">
        <v>1165049</v>
      </c>
      <c r="V55" s="29">
        <v>905</v>
      </c>
    </row>
    <row r="56" spans="1:22" x14ac:dyDescent="0.25">
      <c r="A56" s="29" t="s">
        <v>117</v>
      </c>
      <c r="B56" s="29">
        <v>567</v>
      </c>
      <c r="C56" s="29" t="s">
        <v>310</v>
      </c>
      <c r="D56" s="29">
        <v>191093030</v>
      </c>
      <c r="E56" s="29">
        <v>0</v>
      </c>
      <c r="G56" s="29" t="s">
        <v>3507</v>
      </c>
      <c r="H56" s="29">
        <v>3722</v>
      </c>
      <c r="I56" s="29" t="s">
        <v>3499</v>
      </c>
      <c r="J56" s="29">
        <v>372200</v>
      </c>
      <c r="K56" s="29">
        <v>3713</v>
      </c>
      <c r="L56" s="29" t="s">
        <v>310</v>
      </c>
      <c r="M56" s="29">
        <v>371300</v>
      </c>
      <c r="O56" s="137" t="s">
        <v>3508</v>
      </c>
      <c r="P56" s="29">
        <v>1004</v>
      </c>
      <c r="Q56" s="29">
        <v>1040</v>
      </c>
      <c r="S56" s="29">
        <v>1960</v>
      </c>
      <c r="T56" s="29">
        <v>2620203</v>
      </c>
      <c r="U56" s="29">
        <v>1161118</v>
      </c>
      <c r="V56" s="29">
        <v>905</v>
      </c>
    </row>
    <row r="57" spans="1:22" x14ac:dyDescent="0.25">
      <c r="A57" s="29" t="s">
        <v>117</v>
      </c>
      <c r="B57" s="29">
        <v>567</v>
      </c>
      <c r="C57" s="29" t="s">
        <v>310</v>
      </c>
      <c r="D57" s="29">
        <v>191095531</v>
      </c>
      <c r="E57" s="29">
        <v>0</v>
      </c>
      <c r="G57" s="29" t="s">
        <v>1794</v>
      </c>
      <c r="H57" s="29">
        <v>3714</v>
      </c>
      <c r="I57" s="29" t="s">
        <v>3433</v>
      </c>
      <c r="J57" s="29">
        <v>371403</v>
      </c>
      <c r="K57" s="29">
        <v>3713</v>
      </c>
      <c r="L57" s="29" t="s">
        <v>310</v>
      </c>
      <c r="M57" s="29">
        <v>371300</v>
      </c>
      <c r="O57" s="137" t="s">
        <v>3509</v>
      </c>
      <c r="P57" s="29">
        <v>1004</v>
      </c>
      <c r="Q57" s="29">
        <v>1040</v>
      </c>
      <c r="S57" s="29">
        <v>1960</v>
      </c>
      <c r="T57" s="29">
        <v>2617438</v>
      </c>
      <c r="U57" s="29">
        <v>1164951</v>
      </c>
      <c r="V57" s="29">
        <v>905</v>
      </c>
    </row>
    <row r="58" spans="1:22" x14ac:dyDescent="0.25">
      <c r="A58" s="29" t="s">
        <v>117</v>
      </c>
      <c r="B58" s="29">
        <v>567</v>
      </c>
      <c r="C58" s="29" t="s">
        <v>310</v>
      </c>
      <c r="D58" s="29">
        <v>191096310</v>
      </c>
      <c r="E58" s="29">
        <v>0</v>
      </c>
      <c r="G58" s="29" t="s">
        <v>3510</v>
      </c>
      <c r="H58" s="29">
        <v>3722</v>
      </c>
      <c r="I58" s="29" t="s">
        <v>3499</v>
      </c>
      <c r="J58" s="29">
        <v>372200</v>
      </c>
      <c r="K58" s="29">
        <v>3713</v>
      </c>
      <c r="L58" s="29" t="s">
        <v>310</v>
      </c>
      <c r="M58" s="29">
        <v>371300</v>
      </c>
      <c r="O58" s="137" t="s">
        <v>546</v>
      </c>
      <c r="P58" s="29">
        <v>1004</v>
      </c>
      <c r="Q58" s="29">
        <v>1040</v>
      </c>
      <c r="S58" s="29">
        <v>1950</v>
      </c>
      <c r="T58" s="29">
        <v>2622445</v>
      </c>
      <c r="U58" s="29">
        <v>1163180</v>
      </c>
      <c r="V58" s="29">
        <v>909</v>
      </c>
    </row>
    <row r="59" spans="1:22" x14ac:dyDescent="0.25">
      <c r="A59" s="29" t="s">
        <v>117</v>
      </c>
      <c r="B59" s="29">
        <v>567</v>
      </c>
      <c r="C59" s="29" t="s">
        <v>310</v>
      </c>
      <c r="D59" s="29">
        <v>191096671</v>
      </c>
      <c r="E59" s="29">
        <v>0</v>
      </c>
      <c r="G59" s="29" t="s">
        <v>3511</v>
      </c>
      <c r="H59" s="29">
        <v>3714</v>
      </c>
      <c r="I59" s="29" t="s">
        <v>3433</v>
      </c>
      <c r="J59" s="29">
        <v>371403</v>
      </c>
      <c r="K59" s="29">
        <v>3713</v>
      </c>
      <c r="L59" s="29" t="s">
        <v>310</v>
      </c>
      <c r="M59" s="29">
        <v>371300</v>
      </c>
      <c r="O59" s="137" t="s">
        <v>3512</v>
      </c>
      <c r="P59" s="29">
        <v>1004</v>
      </c>
      <c r="Q59" s="29">
        <v>1021</v>
      </c>
      <c r="R59" s="29">
        <v>1110</v>
      </c>
      <c r="S59" s="29">
        <v>1940</v>
      </c>
      <c r="T59" s="29">
        <v>2616762</v>
      </c>
      <c r="U59" s="29">
        <v>1164079</v>
      </c>
      <c r="V59" s="29">
        <v>905</v>
      </c>
    </row>
    <row r="60" spans="1:22" x14ac:dyDescent="0.25">
      <c r="A60" s="29" t="s">
        <v>117</v>
      </c>
      <c r="B60" s="29">
        <v>567</v>
      </c>
      <c r="C60" s="29" t="s">
        <v>310</v>
      </c>
      <c r="D60" s="29">
        <v>191103852</v>
      </c>
      <c r="E60" s="29">
        <v>0</v>
      </c>
      <c r="G60" s="29" t="s">
        <v>3513</v>
      </c>
      <c r="H60" s="29">
        <v>3714</v>
      </c>
      <c r="I60" s="29" t="s">
        <v>3433</v>
      </c>
      <c r="J60" s="29">
        <v>371403</v>
      </c>
      <c r="K60" s="29">
        <v>3713</v>
      </c>
      <c r="L60" s="29" t="s">
        <v>310</v>
      </c>
      <c r="M60" s="29">
        <v>371300</v>
      </c>
      <c r="O60" s="137" t="s">
        <v>3514</v>
      </c>
      <c r="P60" s="29">
        <v>1004</v>
      </c>
      <c r="Q60" s="29">
        <v>1040</v>
      </c>
      <c r="S60" s="29">
        <v>1970</v>
      </c>
      <c r="T60" s="29">
        <v>2616570</v>
      </c>
      <c r="U60" s="29">
        <v>1164393</v>
      </c>
      <c r="V60" s="29">
        <v>905</v>
      </c>
    </row>
    <row r="61" spans="1:22" x14ac:dyDescent="0.25">
      <c r="A61" s="29" t="s">
        <v>117</v>
      </c>
      <c r="B61" s="29">
        <v>567</v>
      </c>
      <c r="C61" s="29" t="s">
        <v>310</v>
      </c>
      <c r="D61" s="29">
        <v>191104031</v>
      </c>
      <c r="E61" s="29">
        <v>0</v>
      </c>
      <c r="G61" s="29" t="s">
        <v>3515</v>
      </c>
      <c r="H61" s="29">
        <v>3711</v>
      </c>
      <c r="I61" s="29" t="s">
        <v>3449</v>
      </c>
      <c r="J61" s="29">
        <v>371102</v>
      </c>
      <c r="K61" s="29">
        <v>3713</v>
      </c>
      <c r="L61" s="29" t="s">
        <v>310</v>
      </c>
      <c r="M61" s="29">
        <v>371300</v>
      </c>
      <c r="O61" s="137" t="s">
        <v>3516</v>
      </c>
      <c r="P61" s="29">
        <v>1004</v>
      </c>
      <c r="Q61" s="29">
        <v>1040</v>
      </c>
      <c r="S61" s="29">
        <v>1957</v>
      </c>
      <c r="T61" s="29">
        <v>2617601</v>
      </c>
      <c r="U61" s="29">
        <v>1165068</v>
      </c>
      <c r="V61" s="29">
        <v>905</v>
      </c>
    </row>
    <row r="62" spans="1:22" x14ac:dyDescent="0.25">
      <c r="A62" s="29" t="s">
        <v>117</v>
      </c>
      <c r="B62" s="29">
        <v>567</v>
      </c>
      <c r="C62" s="29" t="s">
        <v>310</v>
      </c>
      <c r="D62" s="29">
        <v>191232053</v>
      </c>
      <c r="E62" s="29">
        <v>0</v>
      </c>
      <c r="H62" s="29">
        <v>3714</v>
      </c>
      <c r="I62" s="29" t="s">
        <v>3433</v>
      </c>
      <c r="J62" s="29">
        <v>371403</v>
      </c>
      <c r="K62" s="29">
        <v>3713</v>
      </c>
      <c r="L62" s="29" t="s">
        <v>310</v>
      </c>
      <c r="M62" s="29">
        <v>371300</v>
      </c>
      <c r="O62" s="137" t="s">
        <v>3517</v>
      </c>
      <c r="P62" s="29">
        <v>1004</v>
      </c>
      <c r="Q62" s="29">
        <v>1040</v>
      </c>
      <c r="S62" s="29">
        <v>1950</v>
      </c>
      <c r="T62" s="29">
        <v>2617063</v>
      </c>
      <c r="U62" s="29">
        <v>1164514</v>
      </c>
      <c r="V62" s="29">
        <v>905</v>
      </c>
    </row>
    <row r="63" spans="1:22" x14ac:dyDescent="0.25">
      <c r="A63" s="29" t="s">
        <v>117</v>
      </c>
      <c r="B63" s="29">
        <v>567</v>
      </c>
      <c r="C63" s="29" t="s">
        <v>310</v>
      </c>
      <c r="D63" s="29">
        <v>191877867</v>
      </c>
      <c r="E63" s="29">
        <v>0</v>
      </c>
      <c r="G63" s="29" t="s">
        <v>3518</v>
      </c>
      <c r="H63" s="29">
        <v>3723</v>
      </c>
      <c r="I63" s="29" t="s">
        <v>1769</v>
      </c>
      <c r="J63" s="29">
        <v>372300</v>
      </c>
      <c r="K63" s="29">
        <v>3713</v>
      </c>
      <c r="L63" s="29" t="s">
        <v>310</v>
      </c>
      <c r="M63" s="29">
        <v>371300</v>
      </c>
      <c r="O63" s="137" t="s">
        <v>3519</v>
      </c>
      <c r="P63" s="29">
        <v>1004</v>
      </c>
      <c r="Q63" s="29">
        <v>1040</v>
      </c>
      <c r="S63" s="29">
        <v>1997</v>
      </c>
      <c r="T63" s="29">
        <v>2619254</v>
      </c>
      <c r="U63" s="29">
        <v>1158949</v>
      </c>
      <c r="V63" s="29">
        <v>909</v>
      </c>
    </row>
    <row r="64" spans="1:22" x14ac:dyDescent="0.25">
      <c r="A64" s="29" t="s">
        <v>117</v>
      </c>
      <c r="B64" s="29">
        <v>572</v>
      </c>
      <c r="C64" s="29" t="s">
        <v>312</v>
      </c>
      <c r="D64" s="29">
        <v>192034310</v>
      </c>
      <c r="E64" s="29">
        <v>0</v>
      </c>
      <c r="F64" s="29" t="s">
        <v>2546</v>
      </c>
      <c r="G64" s="29" t="s">
        <v>2746</v>
      </c>
      <c r="H64" s="29">
        <v>3806</v>
      </c>
      <c r="I64" s="29" t="s">
        <v>621</v>
      </c>
      <c r="J64" s="29">
        <v>380600</v>
      </c>
      <c r="K64" s="29">
        <v>3800</v>
      </c>
      <c r="L64" s="29" t="s">
        <v>321</v>
      </c>
      <c r="M64" s="29">
        <v>380000</v>
      </c>
      <c r="O64" s="137" t="s">
        <v>2547</v>
      </c>
      <c r="P64" s="29">
        <v>1004</v>
      </c>
      <c r="Q64" s="29">
        <v>1060</v>
      </c>
      <c r="R64" s="29">
        <v>1242</v>
      </c>
      <c r="S64" s="29">
        <v>2022</v>
      </c>
      <c r="T64" s="29">
        <v>2634412.75</v>
      </c>
      <c r="U64" s="29">
        <v>1170752.625</v>
      </c>
      <c r="V64" s="29">
        <v>904</v>
      </c>
    </row>
    <row r="65" spans="1:24" x14ac:dyDescent="0.25">
      <c r="A65" s="29" t="s">
        <v>117</v>
      </c>
      <c r="B65" s="29">
        <v>663</v>
      </c>
      <c r="C65" s="29" t="s">
        <v>360</v>
      </c>
      <c r="D65" s="29">
        <v>192048465</v>
      </c>
      <c r="E65" s="29">
        <v>0</v>
      </c>
      <c r="F65" s="29" t="s">
        <v>3261</v>
      </c>
      <c r="H65" s="29">
        <v>3020</v>
      </c>
      <c r="I65" s="29" t="s">
        <v>116</v>
      </c>
      <c r="J65" s="29">
        <v>302000</v>
      </c>
      <c r="K65" s="29">
        <v>3202</v>
      </c>
      <c r="L65" s="29" t="s">
        <v>360</v>
      </c>
      <c r="M65" s="29">
        <v>320200</v>
      </c>
      <c r="O65" s="137" t="s">
        <v>3262</v>
      </c>
      <c r="P65" s="29">
        <v>1001</v>
      </c>
      <c r="Q65" s="29">
        <v>1060</v>
      </c>
      <c r="R65" s="29">
        <v>1271</v>
      </c>
      <c r="T65" s="29">
        <v>2592336</v>
      </c>
      <c r="U65" s="29">
        <v>1199574</v>
      </c>
      <c r="V65" s="29">
        <v>904</v>
      </c>
    </row>
    <row r="66" spans="1:24" x14ac:dyDescent="0.25">
      <c r="A66" s="29" t="s">
        <v>117</v>
      </c>
      <c r="B66" s="29">
        <v>701</v>
      </c>
      <c r="C66" s="29" t="s">
        <v>377</v>
      </c>
      <c r="D66" s="29">
        <v>1378250</v>
      </c>
      <c r="E66" s="29">
        <v>0</v>
      </c>
      <c r="G66" s="29" t="s">
        <v>2338</v>
      </c>
      <c r="H66" s="29">
        <v>2740</v>
      </c>
      <c r="I66" s="29" t="s">
        <v>376</v>
      </c>
      <c r="J66" s="29">
        <v>274000</v>
      </c>
      <c r="K66" s="29">
        <v>2742</v>
      </c>
      <c r="L66" s="29" t="s">
        <v>377</v>
      </c>
      <c r="M66" s="29">
        <v>274200</v>
      </c>
      <c r="O66" s="137" t="s">
        <v>2339</v>
      </c>
      <c r="P66" s="29">
        <v>1004</v>
      </c>
      <c r="Q66" s="29">
        <v>1021</v>
      </c>
      <c r="R66" s="29">
        <v>1110</v>
      </c>
      <c r="T66" s="29">
        <v>2591105.602</v>
      </c>
      <c r="U66" s="29">
        <v>1237340.5519999999</v>
      </c>
      <c r="V66" s="29">
        <v>901</v>
      </c>
      <c r="W66" s="29">
        <v>2591107.463</v>
      </c>
      <c r="X66" s="29">
        <v>1237337.7560000001</v>
      </c>
    </row>
    <row r="67" spans="1:24" x14ac:dyDescent="0.25">
      <c r="A67" s="29" t="s">
        <v>117</v>
      </c>
      <c r="B67" s="29">
        <v>701</v>
      </c>
      <c r="C67" s="29" t="s">
        <v>377</v>
      </c>
      <c r="D67" s="29">
        <v>3069098</v>
      </c>
      <c r="E67" s="29">
        <v>0</v>
      </c>
      <c r="G67" s="29" t="s">
        <v>2340</v>
      </c>
      <c r="H67" s="29">
        <v>2740</v>
      </c>
      <c r="I67" s="29" t="s">
        <v>376</v>
      </c>
      <c r="J67" s="29">
        <v>274000</v>
      </c>
      <c r="K67" s="29">
        <v>2742</v>
      </c>
      <c r="L67" s="29" t="s">
        <v>377</v>
      </c>
      <c r="M67" s="29">
        <v>274200</v>
      </c>
      <c r="O67" s="137" t="s">
        <v>2341</v>
      </c>
      <c r="P67" s="29">
        <v>1004</v>
      </c>
      <c r="Q67" s="29">
        <v>1030</v>
      </c>
      <c r="R67" s="29">
        <v>1121</v>
      </c>
      <c r="T67" s="29">
        <v>2591235.656</v>
      </c>
      <c r="U67" s="29">
        <v>1237172.676</v>
      </c>
      <c r="V67" s="29">
        <v>901</v>
      </c>
      <c r="W67" s="29">
        <v>2591248.7990000001</v>
      </c>
      <c r="X67" s="29">
        <v>1237186.115</v>
      </c>
    </row>
    <row r="68" spans="1:24" x14ac:dyDescent="0.25">
      <c r="A68" s="29" t="s">
        <v>117</v>
      </c>
      <c r="B68" s="29">
        <v>701</v>
      </c>
      <c r="C68" s="29" t="s">
        <v>377</v>
      </c>
      <c r="D68" s="29">
        <v>190183553</v>
      </c>
      <c r="E68" s="29">
        <v>0</v>
      </c>
      <c r="G68" s="29" t="s">
        <v>945</v>
      </c>
      <c r="H68" s="29">
        <v>2740</v>
      </c>
      <c r="I68" s="29" t="s">
        <v>376</v>
      </c>
      <c r="J68" s="29">
        <v>274000</v>
      </c>
      <c r="K68" s="29">
        <v>2742</v>
      </c>
      <c r="L68" s="29" t="s">
        <v>377</v>
      </c>
      <c r="M68" s="29">
        <v>274200</v>
      </c>
      <c r="O68" s="137" t="s">
        <v>2341</v>
      </c>
      <c r="P68" s="29">
        <v>1004</v>
      </c>
      <c r="Q68" s="29">
        <v>1021</v>
      </c>
      <c r="R68" s="29">
        <v>1110</v>
      </c>
      <c r="S68" s="29">
        <v>2002</v>
      </c>
      <c r="T68" s="29">
        <v>2591248.6209999998</v>
      </c>
      <c r="U68" s="29">
        <v>1237207.9739999999</v>
      </c>
      <c r="V68" s="29">
        <v>901</v>
      </c>
      <c r="W68" s="29">
        <v>2591249.5860000001</v>
      </c>
      <c r="X68" s="29">
        <v>1237217.2169999999</v>
      </c>
    </row>
    <row r="69" spans="1:24" x14ac:dyDescent="0.25">
      <c r="A69" s="29" t="s">
        <v>117</v>
      </c>
      <c r="B69" s="29">
        <v>701</v>
      </c>
      <c r="C69" s="29" t="s">
        <v>377</v>
      </c>
      <c r="D69" s="29">
        <v>191941740</v>
      </c>
      <c r="E69" s="29">
        <v>0</v>
      </c>
      <c r="G69" s="29" t="s">
        <v>2342</v>
      </c>
      <c r="H69" s="29">
        <v>2740</v>
      </c>
      <c r="I69" s="29" t="s">
        <v>376</v>
      </c>
      <c r="J69" s="29">
        <v>274000</v>
      </c>
      <c r="K69" s="29">
        <v>2742</v>
      </c>
      <c r="L69" s="29" t="s">
        <v>377</v>
      </c>
      <c r="M69" s="29">
        <v>274200</v>
      </c>
      <c r="O69" s="137" t="s">
        <v>2341</v>
      </c>
      <c r="P69" s="29">
        <v>1004</v>
      </c>
      <c r="Q69" s="29">
        <v>1060</v>
      </c>
      <c r="T69" s="29">
        <v>2591244.1269999999</v>
      </c>
      <c r="U69" s="29">
        <v>1237191.6499999999</v>
      </c>
      <c r="V69" s="29">
        <v>901</v>
      </c>
      <c r="W69" s="29">
        <v>2591245.8659999999</v>
      </c>
      <c r="X69" s="29">
        <v>1237189.8160000001</v>
      </c>
    </row>
    <row r="70" spans="1:24" x14ac:dyDescent="0.25">
      <c r="A70" s="29" t="s">
        <v>117</v>
      </c>
      <c r="B70" s="29">
        <v>701</v>
      </c>
      <c r="C70" s="29" t="s">
        <v>377</v>
      </c>
      <c r="D70" s="29">
        <v>502084513</v>
      </c>
      <c r="E70" s="29">
        <v>0</v>
      </c>
      <c r="G70" s="29" t="s">
        <v>2343</v>
      </c>
      <c r="H70" s="29">
        <v>2740</v>
      </c>
      <c r="I70" s="29" t="s">
        <v>376</v>
      </c>
      <c r="J70" s="29">
        <v>274000</v>
      </c>
      <c r="K70" s="29">
        <v>2742</v>
      </c>
      <c r="L70" s="29" t="s">
        <v>377</v>
      </c>
      <c r="M70" s="29">
        <v>274200</v>
      </c>
      <c r="O70" s="137" t="s">
        <v>2341</v>
      </c>
      <c r="P70" s="29">
        <v>1004</v>
      </c>
      <c r="Q70" s="29">
        <v>1060</v>
      </c>
      <c r="R70" s="29">
        <v>1252</v>
      </c>
      <c r="T70" s="29">
        <v>2591653.2480000001</v>
      </c>
      <c r="U70" s="29">
        <v>1237184.946</v>
      </c>
      <c r="V70" s="29">
        <v>901</v>
      </c>
      <c r="W70" s="29">
        <v>2591656.7609999999</v>
      </c>
      <c r="X70" s="29">
        <v>1237185.594</v>
      </c>
    </row>
    <row r="71" spans="1:24" x14ac:dyDescent="0.25">
      <c r="A71" s="29" t="s">
        <v>117</v>
      </c>
      <c r="B71" s="29">
        <v>701</v>
      </c>
      <c r="C71" s="29" t="s">
        <v>377</v>
      </c>
      <c r="D71" s="29">
        <v>502084514</v>
      </c>
      <c r="E71" s="29">
        <v>0</v>
      </c>
      <c r="G71" s="29" t="s">
        <v>2344</v>
      </c>
      <c r="H71" s="29">
        <v>2740</v>
      </c>
      <c r="I71" s="29" t="s">
        <v>376</v>
      </c>
      <c r="J71" s="29">
        <v>274000</v>
      </c>
      <c r="K71" s="29">
        <v>2742</v>
      </c>
      <c r="L71" s="29" t="s">
        <v>377</v>
      </c>
      <c r="M71" s="29">
        <v>274200</v>
      </c>
      <c r="O71" s="137" t="s">
        <v>2341</v>
      </c>
      <c r="P71" s="29">
        <v>1004</v>
      </c>
      <c r="Q71" s="29">
        <v>1060</v>
      </c>
      <c r="R71" s="29">
        <v>1271</v>
      </c>
      <c r="S71" s="29">
        <v>1953</v>
      </c>
      <c r="T71" s="29">
        <v>2591798.79</v>
      </c>
      <c r="U71" s="29">
        <v>1237053.9920000001</v>
      </c>
      <c r="V71" s="29">
        <v>901</v>
      </c>
      <c r="W71" s="29">
        <v>2591804.6090000002</v>
      </c>
      <c r="X71" s="29">
        <v>1237060.5079999999</v>
      </c>
    </row>
    <row r="72" spans="1:24" x14ac:dyDescent="0.25">
      <c r="A72" s="29" t="s">
        <v>117</v>
      </c>
      <c r="B72" s="29">
        <v>701</v>
      </c>
      <c r="C72" s="29" t="s">
        <v>377</v>
      </c>
      <c r="D72" s="29">
        <v>502084515</v>
      </c>
      <c r="E72" s="29">
        <v>0</v>
      </c>
      <c r="G72" s="29" t="s">
        <v>2345</v>
      </c>
      <c r="H72" s="29">
        <v>2740</v>
      </c>
      <c r="I72" s="29" t="s">
        <v>376</v>
      </c>
      <c r="J72" s="29">
        <v>274000</v>
      </c>
      <c r="K72" s="29">
        <v>2742</v>
      </c>
      <c r="L72" s="29" t="s">
        <v>377</v>
      </c>
      <c r="M72" s="29">
        <v>274200</v>
      </c>
      <c r="O72" s="137" t="s">
        <v>2341</v>
      </c>
      <c r="P72" s="29">
        <v>1004</v>
      </c>
      <c r="Q72" s="29">
        <v>1060</v>
      </c>
      <c r="R72" s="29">
        <v>1271</v>
      </c>
      <c r="S72" s="29">
        <v>1965</v>
      </c>
      <c r="T72" s="29">
        <v>2591267.841</v>
      </c>
      <c r="U72" s="29">
        <v>1237130.838</v>
      </c>
      <c r="V72" s="29">
        <v>901</v>
      </c>
      <c r="W72" s="29">
        <v>2591267.3429999999</v>
      </c>
      <c r="X72" s="29">
        <v>1237131.648</v>
      </c>
    </row>
    <row r="73" spans="1:24" x14ac:dyDescent="0.25">
      <c r="A73" s="29" t="s">
        <v>117</v>
      </c>
      <c r="B73" s="29">
        <v>701</v>
      </c>
      <c r="C73" s="29" t="s">
        <v>377</v>
      </c>
      <c r="D73" s="29">
        <v>502084516</v>
      </c>
      <c r="E73" s="29">
        <v>0</v>
      </c>
      <c r="G73" s="29" t="s">
        <v>2346</v>
      </c>
      <c r="H73" s="29">
        <v>2740</v>
      </c>
      <c r="I73" s="29" t="s">
        <v>376</v>
      </c>
      <c r="J73" s="29">
        <v>274000</v>
      </c>
      <c r="K73" s="29">
        <v>2742</v>
      </c>
      <c r="L73" s="29" t="s">
        <v>377</v>
      </c>
      <c r="M73" s="29">
        <v>274200</v>
      </c>
      <c r="O73" s="137" t="s">
        <v>2341</v>
      </c>
      <c r="P73" s="29">
        <v>1004</v>
      </c>
      <c r="Q73" s="29">
        <v>1060</v>
      </c>
      <c r="R73" s="29">
        <v>1271</v>
      </c>
      <c r="S73" s="29">
        <v>1966</v>
      </c>
      <c r="T73" s="29">
        <v>2591251.2349999999</v>
      </c>
      <c r="U73" s="29">
        <v>1237143.0149999999</v>
      </c>
      <c r="V73" s="29">
        <v>901</v>
      </c>
      <c r="W73" s="29">
        <v>2591255.7280000001</v>
      </c>
      <c r="X73" s="29">
        <v>1237149.1599999999</v>
      </c>
    </row>
    <row r="74" spans="1:24" x14ac:dyDescent="0.25">
      <c r="A74" s="29" t="s">
        <v>117</v>
      </c>
      <c r="B74" s="29">
        <v>884</v>
      </c>
      <c r="C74" s="29" t="s">
        <v>451</v>
      </c>
      <c r="D74" s="29">
        <v>1415477</v>
      </c>
      <c r="E74" s="29">
        <v>0</v>
      </c>
      <c r="F74" s="29" t="s">
        <v>2593</v>
      </c>
      <c r="G74" s="29" t="s">
        <v>2594</v>
      </c>
      <c r="H74" s="29">
        <v>3125</v>
      </c>
      <c r="I74" s="29" t="s">
        <v>451</v>
      </c>
      <c r="J74" s="29">
        <v>312500</v>
      </c>
      <c r="K74" s="29">
        <v>3126</v>
      </c>
      <c r="L74" s="29" t="s">
        <v>444</v>
      </c>
      <c r="M74" s="29">
        <v>312600</v>
      </c>
      <c r="O74" s="137" t="s">
        <v>2595</v>
      </c>
      <c r="P74" s="29">
        <v>1004</v>
      </c>
      <c r="Q74" s="29">
        <v>1030</v>
      </c>
      <c r="R74" s="29">
        <v>1110</v>
      </c>
      <c r="T74" s="29">
        <v>2604427.5129999998</v>
      </c>
      <c r="U74" s="29">
        <v>1188368.132</v>
      </c>
      <c r="V74" s="29">
        <v>901</v>
      </c>
      <c r="W74" s="29">
        <v>2604426.298</v>
      </c>
      <c r="X74" s="29">
        <v>1188362.977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117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3811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521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117</v>
      </c>
      <c r="B6" s="29">
        <v>301</v>
      </c>
      <c r="C6" s="29" t="s">
        <v>183</v>
      </c>
      <c r="D6" s="29">
        <v>504007656</v>
      </c>
      <c r="E6" s="29">
        <v>0</v>
      </c>
      <c r="F6" s="29">
        <v>1060</v>
      </c>
      <c r="G6" s="29">
        <v>2590036.0929999999</v>
      </c>
      <c r="H6" s="29">
        <v>1211529.4990000001</v>
      </c>
      <c r="I6" s="29">
        <v>901</v>
      </c>
      <c r="J6" s="29">
        <v>2461381</v>
      </c>
      <c r="K6" s="29" t="s">
        <v>545</v>
      </c>
      <c r="L6" s="175" t="s">
        <v>546</v>
      </c>
      <c r="M6" s="29">
        <v>3250</v>
      </c>
      <c r="N6" s="29" t="s">
        <v>188</v>
      </c>
      <c r="O6" s="29">
        <v>325000</v>
      </c>
      <c r="S6" s="29">
        <v>101</v>
      </c>
      <c r="T6" s="29" t="s">
        <v>547</v>
      </c>
      <c r="U6" s="29">
        <v>0</v>
      </c>
      <c r="V6" s="29" t="s">
        <v>548</v>
      </c>
      <c r="X6" s="29" t="s">
        <v>518</v>
      </c>
    </row>
    <row r="7" spans="1:24" x14ac:dyDescent="0.25">
      <c r="A7" s="29" t="s">
        <v>117</v>
      </c>
      <c r="B7" s="29">
        <v>303</v>
      </c>
      <c r="C7" s="29" t="s">
        <v>185</v>
      </c>
      <c r="D7" s="29">
        <v>502061088</v>
      </c>
      <c r="E7" s="29">
        <v>0</v>
      </c>
      <c r="F7" s="29">
        <v>1060</v>
      </c>
      <c r="G7" s="29">
        <v>2595864.0260000001</v>
      </c>
      <c r="H7" s="29">
        <v>1214247.2520000001</v>
      </c>
      <c r="I7" s="29">
        <v>901</v>
      </c>
      <c r="J7" s="29">
        <v>1016474</v>
      </c>
      <c r="K7" s="29" t="s">
        <v>549</v>
      </c>
      <c r="L7" s="175" t="s">
        <v>550</v>
      </c>
      <c r="M7" s="29">
        <v>3257</v>
      </c>
      <c r="N7" s="29" t="s">
        <v>185</v>
      </c>
      <c r="O7" s="29">
        <v>325700</v>
      </c>
      <c r="P7" s="29">
        <v>2595864.0279999999</v>
      </c>
      <c r="Q7" s="29">
        <v>1214247.2450000001</v>
      </c>
      <c r="S7" s="29">
        <v>101</v>
      </c>
      <c r="T7" s="29" t="s">
        <v>2212</v>
      </c>
      <c r="U7" s="29">
        <v>0</v>
      </c>
      <c r="V7" s="29" t="s">
        <v>2213</v>
      </c>
      <c r="X7" s="29" t="s">
        <v>518</v>
      </c>
    </row>
    <row r="8" spans="1:24" x14ac:dyDescent="0.25">
      <c r="A8" s="29" t="s">
        <v>117</v>
      </c>
      <c r="B8" s="29">
        <v>305</v>
      </c>
      <c r="C8" s="29" t="s">
        <v>187</v>
      </c>
      <c r="D8" s="29">
        <v>9005352</v>
      </c>
      <c r="E8" s="29">
        <v>0</v>
      </c>
      <c r="F8" s="29">
        <v>1060</v>
      </c>
      <c r="G8" s="29">
        <v>2588780.8969999999</v>
      </c>
      <c r="H8" s="29">
        <v>1215542.061</v>
      </c>
      <c r="I8" s="29">
        <v>901</v>
      </c>
      <c r="J8" s="29">
        <v>1016586</v>
      </c>
      <c r="K8" s="29" t="s">
        <v>520</v>
      </c>
      <c r="L8" s="175" t="s">
        <v>553</v>
      </c>
      <c r="M8" s="29">
        <v>3252</v>
      </c>
      <c r="N8" s="29" t="s">
        <v>414</v>
      </c>
      <c r="O8" s="29">
        <v>325200</v>
      </c>
      <c r="P8" s="29">
        <v>2588792.0159999998</v>
      </c>
      <c r="Q8" s="29">
        <v>1215556.1229999999</v>
      </c>
      <c r="S8" s="29">
        <v>101</v>
      </c>
      <c r="T8" s="29" t="s">
        <v>554</v>
      </c>
      <c r="U8" s="29">
        <v>0</v>
      </c>
      <c r="V8" s="29" t="s">
        <v>555</v>
      </c>
      <c r="X8" s="29" t="s">
        <v>552</v>
      </c>
    </row>
    <row r="9" spans="1:24" x14ac:dyDescent="0.25">
      <c r="A9" s="29" t="s">
        <v>117</v>
      </c>
      <c r="B9" s="29">
        <v>305</v>
      </c>
      <c r="C9" s="29" t="s">
        <v>187</v>
      </c>
      <c r="D9" s="29">
        <v>502061501</v>
      </c>
      <c r="E9" s="29">
        <v>0</v>
      </c>
      <c r="F9" s="29">
        <v>1060</v>
      </c>
      <c r="G9" s="29">
        <v>2588785.61</v>
      </c>
      <c r="H9" s="29">
        <v>1215558.287</v>
      </c>
      <c r="I9" s="29">
        <v>901</v>
      </c>
      <c r="J9" s="29">
        <v>1016586</v>
      </c>
      <c r="K9" s="29" t="s">
        <v>520</v>
      </c>
      <c r="L9" s="175" t="s">
        <v>540</v>
      </c>
      <c r="M9" s="29">
        <v>3252</v>
      </c>
      <c r="N9" s="29" t="s">
        <v>414</v>
      </c>
      <c r="O9" s="29">
        <v>325200</v>
      </c>
      <c r="S9" s="29">
        <v>101</v>
      </c>
      <c r="T9" s="29" t="s">
        <v>554</v>
      </c>
      <c r="U9" s="29">
        <v>0</v>
      </c>
      <c r="V9" s="29" t="s">
        <v>555</v>
      </c>
      <c r="X9" s="29" t="s">
        <v>518</v>
      </c>
    </row>
    <row r="10" spans="1:24" x14ac:dyDescent="0.25">
      <c r="A10" s="29" t="s">
        <v>117</v>
      </c>
      <c r="B10" s="29">
        <v>306</v>
      </c>
      <c r="C10" s="29" t="s">
        <v>188</v>
      </c>
      <c r="D10" s="29">
        <v>9005391</v>
      </c>
      <c r="E10" s="29">
        <v>0</v>
      </c>
      <c r="F10" s="29">
        <v>1060</v>
      </c>
      <c r="G10" s="29">
        <v>2590179.6039999998</v>
      </c>
      <c r="H10" s="29">
        <v>1214013.4990000001</v>
      </c>
      <c r="I10" s="29">
        <v>901</v>
      </c>
      <c r="J10" s="29">
        <v>1016640</v>
      </c>
      <c r="K10" s="29" t="s">
        <v>3212</v>
      </c>
      <c r="L10" s="175" t="s">
        <v>1781</v>
      </c>
      <c r="M10" s="29">
        <v>3250</v>
      </c>
      <c r="N10" s="29" t="s">
        <v>188</v>
      </c>
      <c r="O10" s="29">
        <v>325000</v>
      </c>
      <c r="P10" s="29">
        <v>2590177.878</v>
      </c>
      <c r="Q10" s="29">
        <v>1214013.233</v>
      </c>
      <c r="S10" s="29">
        <v>101</v>
      </c>
      <c r="T10" s="29" t="s">
        <v>3213</v>
      </c>
      <c r="U10" s="29">
        <v>1</v>
      </c>
      <c r="V10" s="29" t="s">
        <v>3214</v>
      </c>
      <c r="X10" s="29" t="s">
        <v>552</v>
      </c>
    </row>
    <row r="11" spans="1:24" x14ac:dyDescent="0.25">
      <c r="A11" s="29" t="s">
        <v>117</v>
      </c>
      <c r="B11" s="29">
        <v>306</v>
      </c>
      <c r="C11" s="29" t="s">
        <v>188</v>
      </c>
      <c r="D11" s="29">
        <v>192048029</v>
      </c>
      <c r="E11" s="29">
        <v>0</v>
      </c>
      <c r="F11" s="29">
        <v>1025</v>
      </c>
      <c r="G11" s="29">
        <v>2590176</v>
      </c>
      <c r="H11" s="29">
        <v>1214009</v>
      </c>
      <c r="I11" s="29">
        <v>905</v>
      </c>
      <c r="J11" s="29">
        <v>1016640</v>
      </c>
      <c r="K11" s="29" t="s">
        <v>3212</v>
      </c>
      <c r="L11" s="175" t="s">
        <v>1781</v>
      </c>
      <c r="M11" s="29">
        <v>3250</v>
      </c>
      <c r="N11" s="29" t="s">
        <v>188</v>
      </c>
      <c r="O11" s="29">
        <v>325000</v>
      </c>
      <c r="S11" s="29">
        <v>101</v>
      </c>
      <c r="U11" s="29">
        <v>1</v>
      </c>
      <c r="V11" s="29" t="s">
        <v>3214</v>
      </c>
      <c r="X11" s="29" t="s">
        <v>518</v>
      </c>
    </row>
    <row r="12" spans="1:24" x14ac:dyDescent="0.25">
      <c r="A12" s="29" t="s">
        <v>117</v>
      </c>
      <c r="B12" s="29">
        <v>306</v>
      </c>
      <c r="C12" s="29" t="s">
        <v>188</v>
      </c>
      <c r="D12" s="29">
        <v>502191441</v>
      </c>
      <c r="E12" s="29">
        <v>0</v>
      </c>
      <c r="F12" s="29">
        <v>1060</v>
      </c>
      <c r="G12" s="29">
        <v>2590188.54</v>
      </c>
      <c r="H12" s="29">
        <v>1214041.4669999999</v>
      </c>
      <c r="I12" s="29">
        <v>901</v>
      </c>
      <c r="J12" s="29">
        <v>1016640</v>
      </c>
      <c r="K12" s="29" t="s">
        <v>3212</v>
      </c>
      <c r="L12" s="175" t="s">
        <v>3215</v>
      </c>
      <c r="M12" s="29">
        <v>3250</v>
      </c>
      <c r="N12" s="29" t="s">
        <v>188</v>
      </c>
      <c r="O12" s="29">
        <v>325000</v>
      </c>
      <c r="P12" s="29">
        <v>2590187.8620000002</v>
      </c>
      <c r="Q12" s="29">
        <v>1214044.7239999999</v>
      </c>
      <c r="S12" s="29">
        <v>101</v>
      </c>
      <c r="T12" s="29" t="s">
        <v>3217</v>
      </c>
      <c r="U12" s="29">
        <v>1</v>
      </c>
      <c r="V12" s="29" t="s">
        <v>3216</v>
      </c>
      <c r="X12" s="29" t="s">
        <v>518</v>
      </c>
    </row>
    <row r="13" spans="1:24" x14ac:dyDescent="0.25">
      <c r="A13" s="29" t="s">
        <v>117</v>
      </c>
      <c r="B13" s="29">
        <v>306</v>
      </c>
      <c r="C13" s="29" t="s">
        <v>188</v>
      </c>
      <c r="D13" s="29">
        <v>192047998</v>
      </c>
      <c r="E13" s="29">
        <v>0</v>
      </c>
      <c r="F13" s="29">
        <v>1025</v>
      </c>
      <c r="G13" s="29">
        <v>2590185</v>
      </c>
      <c r="H13" s="29">
        <v>1214037</v>
      </c>
      <c r="I13" s="29">
        <v>905</v>
      </c>
      <c r="J13" s="29">
        <v>1016640</v>
      </c>
      <c r="K13" s="29" t="s">
        <v>3212</v>
      </c>
      <c r="L13" s="175" t="s">
        <v>3215</v>
      </c>
      <c r="M13" s="29">
        <v>3250</v>
      </c>
      <c r="N13" s="29" t="s">
        <v>188</v>
      </c>
      <c r="O13" s="29">
        <v>325000</v>
      </c>
      <c r="S13" s="29">
        <v>101</v>
      </c>
      <c r="U13" s="29">
        <v>1</v>
      </c>
      <c r="V13" s="29" t="s">
        <v>3216</v>
      </c>
      <c r="X13" s="29" t="s">
        <v>518</v>
      </c>
    </row>
    <row r="14" spans="1:24" x14ac:dyDescent="0.25">
      <c r="A14" s="29" t="s">
        <v>117</v>
      </c>
      <c r="B14" s="29">
        <v>306</v>
      </c>
      <c r="C14" s="29" t="s">
        <v>188</v>
      </c>
      <c r="D14" s="29">
        <v>502191366</v>
      </c>
      <c r="E14" s="29">
        <v>0</v>
      </c>
      <c r="F14" s="29">
        <v>1060</v>
      </c>
      <c r="G14" s="29">
        <v>2590301.37</v>
      </c>
      <c r="H14" s="29">
        <v>1212021.2409999999</v>
      </c>
      <c r="I14" s="29">
        <v>901</v>
      </c>
      <c r="J14" s="29">
        <v>1016646</v>
      </c>
      <c r="K14" s="29" t="s">
        <v>545</v>
      </c>
      <c r="L14" s="175" t="s">
        <v>546</v>
      </c>
      <c r="M14" s="29">
        <v>3250</v>
      </c>
      <c r="N14" s="29" t="s">
        <v>188</v>
      </c>
      <c r="O14" s="29">
        <v>325000</v>
      </c>
      <c r="S14" s="29">
        <v>101</v>
      </c>
      <c r="T14" s="29" t="s">
        <v>556</v>
      </c>
      <c r="U14" s="29">
        <v>1</v>
      </c>
      <c r="V14" s="29" t="s">
        <v>557</v>
      </c>
      <c r="X14" s="29" t="s">
        <v>518</v>
      </c>
    </row>
    <row r="15" spans="1:24" x14ac:dyDescent="0.25">
      <c r="A15" s="29" t="s">
        <v>117</v>
      </c>
      <c r="B15" s="29">
        <v>306</v>
      </c>
      <c r="C15" s="29" t="s">
        <v>188</v>
      </c>
      <c r="D15" s="29">
        <v>191965291</v>
      </c>
      <c r="E15" s="29">
        <v>0</v>
      </c>
      <c r="F15" s="29">
        <v>1080</v>
      </c>
      <c r="G15" s="29">
        <v>2589761</v>
      </c>
      <c r="H15" s="29">
        <v>1212997</v>
      </c>
      <c r="I15" s="29">
        <v>905</v>
      </c>
      <c r="J15" s="29">
        <v>1016687</v>
      </c>
      <c r="K15" s="29" t="s">
        <v>2347</v>
      </c>
      <c r="L15" s="175" t="s">
        <v>2348</v>
      </c>
      <c r="M15" s="29">
        <v>3250</v>
      </c>
      <c r="N15" s="29" t="s">
        <v>188</v>
      </c>
      <c r="O15" s="29">
        <v>325000</v>
      </c>
      <c r="R15" s="29" t="s">
        <v>2349</v>
      </c>
      <c r="S15" s="29">
        <v>101</v>
      </c>
      <c r="U15" s="29">
        <v>1</v>
      </c>
      <c r="V15" s="29" t="s">
        <v>2350</v>
      </c>
      <c r="X15" s="29" t="s">
        <v>518</v>
      </c>
    </row>
    <row r="16" spans="1:24" x14ac:dyDescent="0.25">
      <c r="A16" s="29" t="s">
        <v>117</v>
      </c>
      <c r="B16" s="29">
        <v>306</v>
      </c>
      <c r="C16" s="29" t="s">
        <v>188</v>
      </c>
      <c r="D16" s="29">
        <v>502190472</v>
      </c>
      <c r="E16" s="29">
        <v>0</v>
      </c>
      <c r="F16" s="29">
        <v>1080</v>
      </c>
      <c r="G16" s="29">
        <v>2589761.42</v>
      </c>
      <c r="H16" s="29">
        <v>1212997.9990000001</v>
      </c>
      <c r="I16" s="29">
        <v>901</v>
      </c>
      <c r="J16" s="29">
        <v>1016687</v>
      </c>
      <c r="K16" s="29" t="s">
        <v>2347</v>
      </c>
      <c r="L16" s="175" t="s">
        <v>2348</v>
      </c>
      <c r="M16" s="29">
        <v>3250</v>
      </c>
      <c r="N16" s="29" t="s">
        <v>188</v>
      </c>
      <c r="O16" s="29">
        <v>325000</v>
      </c>
      <c r="P16" s="29">
        <v>2589757.281</v>
      </c>
      <c r="Q16" s="29">
        <v>1213007.68</v>
      </c>
      <c r="R16" s="29" t="s">
        <v>574</v>
      </c>
      <c r="S16" s="29">
        <v>101</v>
      </c>
      <c r="T16" s="29" t="s">
        <v>2351</v>
      </c>
      <c r="U16" s="29">
        <v>1</v>
      </c>
      <c r="V16" s="29" t="s">
        <v>2350</v>
      </c>
      <c r="X16" s="29" t="s">
        <v>518</v>
      </c>
    </row>
    <row r="17" spans="1:24" x14ac:dyDescent="0.25">
      <c r="A17" s="29" t="s">
        <v>117</v>
      </c>
      <c r="B17" s="29">
        <v>306</v>
      </c>
      <c r="C17" s="29" t="s">
        <v>188</v>
      </c>
      <c r="D17" s="29">
        <v>191982917</v>
      </c>
      <c r="E17" s="29">
        <v>0</v>
      </c>
      <c r="F17" s="29">
        <v>1021</v>
      </c>
      <c r="G17" s="29">
        <v>2590863.7850000001</v>
      </c>
      <c r="H17" s="29">
        <v>1214049.909</v>
      </c>
      <c r="I17" s="29">
        <v>905</v>
      </c>
      <c r="J17" s="29">
        <v>1016727</v>
      </c>
      <c r="K17" s="29" t="s">
        <v>936</v>
      </c>
      <c r="L17" s="175" t="s">
        <v>575</v>
      </c>
      <c r="M17" s="29">
        <v>3250</v>
      </c>
      <c r="N17" s="29" t="s">
        <v>188</v>
      </c>
      <c r="O17" s="29">
        <v>325000</v>
      </c>
      <c r="R17" s="29" t="s">
        <v>937</v>
      </c>
      <c r="S17" s="29">
        <v>115</v>
      </c>
      <c r="U17" s="29">
        <v>1</v>
      </c>
      <c r="V17" s="29" t="s">
        <v>938</v>
      </c>
      <c r="X17" s="29" t="s">
        <v>552</v>
      </c>
    </row>
    <row r="18" spans="1:24" x14ac:dyDescent="0.25">
      <c r="A18" s="29" t="s">
        <v>117</v>
      </c>
      <c r="B18" s="29">
        <v>306</v>
      </c>
      <c r="C18" s="29" t="s">
        <v>188</v>
      </c>
      <c r="D18" s="29">
        <v>1252695</v>
      </c>
      <c r="E18" s="29">
        <v>0</v>
      </c>
      <c r="F18" s="29">
        <v>1021</v>
      </c>
      <c r="G18" s="29">
        <v>2590888.2880000002</v>
      </c>
      <c r="H18" s="29">
        <v>1214073.3419999999</v>
      </c>
      <c r="I18" s="29">
        <v>901</v>
      </c>
      <c r="J18" s="29">
        <v>1016727</v>
      </c>
      <c r="K18" s="29" t="s">
        <v>936</v>
      </c>
      <c r="L18" s="175" t="s">
        <v>575</v>
      </c>
      <c r="M18" s="29">
        <v>3250</v>
      </c>
      <c r="N18" s="29" t="s">
        <v>188</v>
      </c>
      <c r="O18" s="29">
        <v>325000</v>
      </c>
      <c r="P18" s="29">
        <v>2590889.0260000001</v>
      </c>
      <c r="Q18" s="29">
        <v>1214072.8829999999</v>
      </c>
      <c r="S18" s="29">
        <v>150</v>
      </c>
      <c r="T18" s="29" t="s">
        <v>939</v>
      </c>
      <c r="U18" s="29">
        <v>1</v>
      </c>
      <c r="V18" s="29" t="s">
        <v>938</v>
      </c>
      <c r="X18" s="29" t="s">
        <v>518</v>
      </c>
    </row>
    <row r="19" spans="1:24" x14ac:dyDescent="0.25">
      <c r="A19" s="29" t="s">
        <v>117</v>
      </c>
      <c r="B19" s="29">
        <v>306</v>
      </c>
      <c r="C19" s="29" t="s">
        <v>188</v>
      </c>
      <c r="D19" s="29">
        <v>502190422</v>
      </c>
      <c r="E19" s="29">
        <v>0</v>
      </c>
      <c r="F19" s="29">
        <v>1080</v>
      </c>
      <c r="G19" s="29">
        <v>2589875.3459999999</v>
      </c>
      <c r="H19" s="29">
        <v>1214429.6780000001</v>
      </c>
      <c r="I19" s="29">
        <v>901</v>
      </c>
      <c r="J19" s="29">
        <v>1016731</v>
      </c>
      <c r="K19" s="29" t="s">
        <v>2637</v>
      </c>
      <c r="L19" s="175" t="s">
        <v>2638</v>
      </c>
      <c r="M19" s="29">
        <v>3250</v>
      </c>
      <c r="N19" s="29" t="s">
        <v>188</v>
      </c>
      <c r="O19" s="29">
        <v>325000</v>
      </c>
      <c r="P19" s="29">
        <v>2589873.7039999999</v>
      </c>
      <c r="Q19" s="29">
        <v>1214427.2590000001</v>
      </c>
      <c r="R19" s="29" t="s">
        <v>574</v>
      </c>
      <c r="S19" s="29">
        <v>101</v>
      </c>
      <c r="T19" s="29" t="s">
        <v>2639</v>
      </c>
      <c r="U19" s="29">
        <v>1</v>
      </c>
      <c r="V19" s="29" t="s">
        <v>2640</v>
      </c>
      <c r="X19" s="29" t="s">
        <v>518</v>
      </c>
    </row>
    <row r="20" spans="1:24" x14ac:dyDescent="0.25">
      <c r="A20" s="29" t="s">
        <v>117</v>
      </c>
      <c r="B20" s="29">
        <v>306</v>
      </c>
      <c r="C20" s="29" t="s">
        <v>188</v>
      </c>
      <c r="D20" s="29">
        <v>192037823</v>
      </c>
      <c r="E20" s="29">
        <v>0</v>
      </c>
      <c r="F20" s="29">
        <v>1060</v>
      </c>
      <c r="G20" s="29">
        <v>2589871</v>
      </c>
      <c r="H20" s="29">
        <v>1214426</v>
      </c>
      <c r="I20" s="29">
        <v>905</v>
      </c>
      <c r="J20" s="29">
        <v>1016731</v>
      </c>
      <c r="K20" s="29" t="s">
        <v>2637</v>
      </c>
      <c r="L20" s="175" t="s">
        <v>2638</v>
      </c>
      <c r="M20" s="29">
        <v>3250</v>
      </c>
      <c r="N20" s="29" t="s">
        <v>188</v>
      </c>
      <c r="O20" s="29">
        <v>325000</v>
      </c>
      <c r="S20" s="29">
        <v>115</v>
      </c>
      <c r="U20" s="29">
        <v>1</v>
      </c>
      <c r="V20" s="29" t="s">
        <v>2640</v>
      </c>
      <c r="X20" s="29" t="s">
        <v>518</v>
      </c>
    </row>
    <row r="21" spans="1:24" x14ac:dyDescent="0.25">
      <c r="A21" s="29" t="s">
        <v>117</v>
      </c>
      <c r="B21" s="29">
        <v>332</v>
      </c>
      <c r="C21" s="29" t="s">
        <v>202</v>
      </c>
      <c r="D21" s="29">
        <v>9052057</v>
      </c>
      <c r="E21" s="29">
        <v>0</v>
      </c>
      <c r="F21" s="29">
        <v>1060</v>
      </c>
      <c r="G21" s="29">
        <v>2626257.602</v>
      </c>
      <c r="H21" s="29">
        <v>1221945.561</v>
      </c>
      <c r="I21" s="29">
        <v>901</v>
      </c>
      <c r="J21" s="29">
        <v>1017271</v>
      </c>
      <c r="K21" s="29" t="s">
        <v>558</v>
      </c>
      <c r="L21" s="175" t="s">
        <v>538</v>
      </c>
      <c r="M21" s="29">
        <v>4936</v>
      </c>
      <c r="N21" s="29" t="s">
        <v>559</v>
      </c>
      <c r="O21" s="29">
        <v>493600</v>
      </c>
      <c r="P21" s="29">
        <v>2626253.878</v>
      </c>
      <c r="Q21" s="29">
        <v>1221946.649</v>
      </c>
      <c r="S21" s="29">
        <v>101</v>
      </c>
      <c r="T21" s="29" t="s">
        <v>560</v>
      </c>
      <c r="U21" s="29">
        <v>3</v>
      </c>
      <c r="V21" s="29" t="s">
        <v>561</v>
      </c>
      <c r="X21" s="29" t="s">
        <v>518</v>
      </c>
    </row>
    <row r="22" spans="1:24" x14ac:dyDescent="0.25">
      <c r="A22" s="29" t="s">
        <v>117</v>
      </c>
      <c r="B22" s="29">
        <v>344</v>
      </c>
      <c r="C22" s="29" t="s">
        <v>212</v>
      </c>
      <c r="D22" s="29">
        <v>504060843</v>
      </c>
      <c r="E22" s="29">
        <v>0</v>
      </c>
      <c r="F22" s="29">
        <v>1060</v>
      </c>
      <c r="G22" s="29">
        <v>2626268.1170000001</v>
      </c>
      <c r="H22" s="29">
        <v>1221926.2549999999</v>
      </c>
      <c r="I22" s="29">
        <v>901</v>
      </c>
      <c r="J22" s="29">
        <v>1018046</v>
      </c>
      <c r="K22" s="29" t="s">
        <v>558</v>
      </c>
      <c r="L22" s="175" t="s">
        <v>538</v>
      </c>
      <c r="M22" s="29">
        <v>4936</v>
      </c>
      <c r="N22" s="29" t="s">
        <v>559</v>
      </c>
      <c r="O22" s="29">
        <v>493600</v>
      </c>
      <c r="S22" s="29">
        <v>101</v>
      </c>
      <c r="T22" s="29" t="s">
        <v>562</v>
      </c>
      <c r="U22" s="29">
        <v>0</v>
      </c>
      <c r="V22" s="29" t="s">
        <v>563</v>
      </c>
      <c r="X22" s="29" t="s">
        <v>518</v>
      </c>
    </row>
    <row r="23" spans="1:24" x14ac:dyDescent="0.25">
      <c r="A23" s="29" t="s">
        <v>117</v>
      </c>
      <c r="B23" s="29">
        <v>351</v>
      </c>
      <c r="C23" s="29" t="s">
        <v>116</v>
      </c>
      <c r="D23" s="29">
        <v>192047033</v>
      </c>
      <c r="E23" s="29">
        <v>0</v>
      </c>
      <c r="F23" s="29">
        <v>1060</v>
      </c>
      <c r="G23" s="29">
        <v>2603040.46</v>
      </c>
      <c r="H23" s="29">
        <v>1199167.82</v>
      </c>
      <c r="I23" s="29">
        <v>904</v>
      </c>
      <c r="J23" s="29">
        <v>1018200</v>
      </c>
      <c r="K23" s="29" t="s">
        <v>3141</v>
      </c>
      <c r="L23" s="175" t="s">
        <v>3142</v>
      </c>
      <c r="M23" s="29">
        <v>3006</v>
      </c>
      <c r="N23" s="29" t="s">
        <v>116</v>
      </c>
      <c r="O23" s="29">
        <v>300600</v>
      </c>
      <c r="R23" s="29" t="s">
        <v>3143</v>
      </c>
      <c r="S23" s="29">
        <v>101</v>
      </c>
      <c r="U23" s="29">
        <v>4</v>
      </c>
      <c r="V23" s="29" t="s">
        <v>3144</v>
      </c>
      <c r="X23" s="29" t="s">
        <v>518</v>
      </c>
    </row>
    <row r="24" spans="1:24" x14ac:dyDescent="0.25">
      <c r="A24" s="29" t="s">
        <v>117</v>
      </c>
      <c r="B24" s="29">
        <v>351</v>
      </c>
      <c r="C24" s="29" t="s">
        <v>116</v>
      </c>
      <c r="D24" s="29">
        <v>504013095</v>
      </c>
      <c r="E24" s="29">
        <v>0</v>
      </c>
      <c r="F24" s="29">
        <v>1060</v>
      </c>
      <c r="G24" s="29">
        <v>2603040.159</v>
      </c>
      <c r="H24" s="29">
        <v>1199167.919</v>
      </c>
      <c r="I24" s="29">
        <v>904</v>
      </c>
      <c r="J24" s="29">
        <v>1018200</v>
      </c>
      <c r="K24" s="29" t="s">
        <v>3141</v>
      </c>
      <c r="L24" s="175" t="s">
        <v>3142</v>
      </c>
      <c r="M24" s="29">
        <v>3006</v>
      </c>
      <c r="N24" s="29" t="s">
        <v>116</v>
      </c>
      <c r="O24" s="29">
        <v>300600</v>
      </c>
      <c r="P24" s="29">
        <v>2603038.9440000001</v>
      </c>
      <c r="Q24" s="29">
        <v>1199168.351</v>
      </c>
      <c r="R24" s="29" t="s">
        <v>3605</v>
      </c>
      <c r="S24" s="29">
        <v>101</v>
      </c>
      <c r="T24" s="29" t="s">
        <v>3145</v>
      </c>
      <c r="U24" s="29">
        <v>4</v>
      </c>
      <c r="V24" s="29" t="s">
        <v>3144</v>
      </c>
      <c r="X24" s="29" t="s">
        <v>518</v>
      </c>
    </row>
    <row r="25" spans="1:24" x14ac:dyDescent="0.25">
      <c r="A25" s="29" t="s">
        <v>117</v>
      </c>
      <c r="B25" s="29">
        <v>351</v>
      </c>
      <c r="C25" s="29" t="s">
        <v>116</v>
      </c>
      <c r="D25" s="29">
        <v>192046212</v>
      </c>
      <c r="E25" s="29">
        <v>0</v>
      </c>
      <c r="F25" s="29">
        <v>1060</v>
      </c>
      <c r="G25" s="29">
        <v>2599233.48</v>
      </c>
      <c r="H25" s="29">
        <v>1202343.8400000001</v>
      </c>
      <c r="I25" s="29">
        <v>904</v>
      </c>
      <c r="J25" s="29">
        <v>1018540</v>
      </c>
      <c r="K25" s="29" t="s">
        <v>3010</v>
      </c>
      <c r="L25" s="175" t="s">
        <v>3011</v>
      </c>
      <c r="M25" s="29">
        <v>3037</v>
      </c>
      <c r="N25" s="29" t="s">
        <v>3012</v>
      </c>
      <c r="O25" s="29">
        <v>303700</v>
      </c>
      <c r="R25" s="29" t="s">
        <v>3013</v>
      </c>
      <c r="S25" s="29">
        <v>150</v>
      </c>
      <c r="U25" s="29">
        <v>2</v>
      </c>
      <c r="V25" s="29" t="s">
        <v>3014</v>
      </c>
      <c r="X25" s="29" t="s">
        <v>518</v>
      </c>
    </row>
    <row r="26" spans="1:24" x14ac:dyDescent="0.25">
      <c r="A26" s="29" t="s">
        <v>117</v>
      </c>
      <c r="B26" s="29">
        <v>351</v>
      </c>
      <c r="C26" s="29" t="s">
        <v>116</v>
      </c>
      <c r="D26" s="29">
        <v>504009823</v>
      </c>
      <c r="E26" s="29">
        <v>0</v>
      </c>
      <c r="F26" s="29">
        <v>1060</v>
      </c>
      <c r="G26" s="29">
        <v>2599229.645</v>
      </c>
      <c r="H26" s="29">
        <v>1202344.2439999999</v>
      </c>
      <c r="I26" s="29">
        <v>901</v>
      </c>
      <c r="J26" s="29">
        <v>1018540</v>
      </c>
      <c r="K26" s="29" t="s">
        <v>3010</v>
      </c>
      <c r="L26" s="175" t="s">
        <v>3011</v>
      </c>
      <c r="M26" s="29">
        <v>3037</v>
      </c>
      <c r="N26" s="29" t="s">
        <v>3012</v>
      </c>
      <c r="O26" s="29">
        <v>303700</v>
      </c>
      <c r="P26" s="29">
        <v>2599222.875</v>
      </c>
      <c r="Q26" s="29">
        <v>1202344.1340000001</v>
      </c>
      <c r="S26" s="29">
        <v>115</v>
      </c>
      <c r="T26" s="29" t="s">
        <v>3015</v>
      </c>
      <c r="U26" s="29">
        <v>2</v>
      </c>
      <c r="V26" s="29" t="s">
        <v>3014</v>
      </c>
      <c r="X26" s="29" t="s">
        <v>518</v>
      </c>
    </row>
    <row r="27" spans="1:24" x14ac:dyDescent="0.25">
      <c r="A27" s="29" t="s">
        <v>117</v>
      </c>
      <c r="B27" s="29">
        <v>351</v>
      </c>
      <c r="C27" s="29" t="s">
        <v>116</v>
      </c>
      <c r="D27" s="29">
        <v>1230486</v>
      </c>
      <c r="E27" s="29">
        <v>1</v>
      </c>
      <c r="F27" s="29">
        <v>1040</v>
      </c>
      <c r="G27" s="29">
        <v>2600701.801</v>
      </c>
      <c r="H27" s="29">
        <v>1199695.2409999999</v>
      </c>
      <c r="I27" s="29">
        <v>901</v>
      </c>
      <c r="J27" s="29">
        <v>1018830</v>
      </c>
      <c r="K27" s="29" t="s">
        <v>564</v>
      </c>
      <c r="L27" s="175" t="s">
        <v>519</v>
      </c>
      <c r="M27" s="29">
        <v>3011</v>
      </c>
      <c r="N27" s="29" t="s">
        <v>116</v>
      </c>
      <c r="O27" s="29">
        <v>301100</v>
      </c>
      <c r="R27" s="29" t="s">
        <v>565</v>
      </c>
      <c r="S27" s="29">
        <v>150</v>
      </c>
      <c r="T27" s="29" t="s">
        <v>566</v>
      </c>
      <c r="U27" s="29">
        <v>1</v>
      </c>
      <c r="V27" s="29" t="s">
        <v>567</v>
      </c>
      <c r="X27" s="29" t="s">
        <v>518</v>
      </c>
    </row>
    <row r="28" spans="1:24" x14ac:dyDescent="0.25">
      <c r="A28" s="29" t="s">
        <v>117</v>
      </c>
      <c r="B28" s="29">
        <v>351</v>
      </c>
      <c r="C28" s="29" t="s">
        <v>116</v>
      </c>
      <c r="D28" s="29">
        <v>504009884</v>
      </c>
      <c r="E28" s="29">
        <v>0</v>
      </c>
      <c r="F28" s="29">
        <v>1060</v>
      </c>
      <c r="G28" s="29">
        <v>2600720.4029999999</v>
      </c>
      <c r="H28" s="29">
        <v>1199690.6429999999</v>
      </c>
      <c r="I28" s="29">
        <v>901</v>
      </c>
      <c r="J28" s="29">
        <v>1018830</v>
      </c>
      <c r="K28" s="29" t="s">
        <v>564</v>
      </c>
      <c r="L28" s="175" t="s">
        <v>519</v>
      </c>
      <c r="M28" s="29">
        <v>3011</v>
      </c>
      <c r="N28" s="29" t="s">
        <v>116</v>
      </c>
      <c r="O28" s="29">
        <v>301100</v>
      </c>
      <c r="P28" s="29">
        <v>2600722.1850000001</v>
      </c>
      <c r="Q28" s="29">
        <v>1199691.108</v>
      </c>
      <c r="S28" s="29">
        <v>115</v>
      </c>
      <c r="T28" s="29" t="s">
        <v>566</v>
      </c>
      <c r="U28" s="29">
        <v>1</v>
      </c>
      <c r="V28" s="29" t="s">
        <v>567</v>
      </c>
      <c r="X28" s="29" t="s">
        <v>518</v>
      </c>
    </row>
    <row r="29" spans="1:24" x14ac:dyDescent="0.25">
      <c r="A29" s="29" t="s">
        <v>117</v>
      </c>
      <c r="B29" s="29">
        <v>356</v>
      </c>
      <c r="C29" s="29" t="s">
        <v>218</v>
      </c>
      <c r="D29" s="29">
        <v>192022183</v>
      </c>
      <c r="E29" s="29">
        <v>0</v>
      </c>
      <c r="F29" s="29">
        <v>1080</v>
      </c>
      <c r="G29" s="29">
        <v>2605482</v>
      </c>
      <c r="H29" s="29">
        <v>1199651</v>
      </c>
      <c r="I29" s="29">
        <v>905</v>
      </c>
      <c r="J29" s="29">
        <v>1019465</v>
      </c>
      <c r="K29" s="29" t="s">
        <v>2120</v>
      </c>
      <c r="L29" s="175" t="s">
        <v>2121</v>
      </c>
      <c r="M29" s="29">
        <v>3073</v>
      </c>
      <c r="N29" s="29" t="s">
        <v>544</v>
      </c>
      <c r="O29" s="29">
        <v>307300</v>
      </c>
      <c r="R29" s="29" t="s">
        <v>600</v>
      </c>
      <c r="S29" s="29">
        <v>101</v>
      </c>
      <c r="U29" s="29">
        <v>0</v>
      </c>
      <c r="V29" s="29" t="s">
        <v>2122</v>
      </c>
      <c r="X29" s="29" t="s">
        <v>518</v>
      </c>
    </row>
    <row r="30" spans="1:24" x14ac:dyDescent="0.25">
      <c r="A30" s="29" t="s">
        <v>117</v>
      </c>
      <c r="B30" s="29">
        <v>356</v>
      </c>
      <c r="C30" s="29" t="s">
        <v>218</v>
      </c>
      <c r="D30" s="29">
        <v>191709691</v>
      </c>
      <c r="E30" s="29">
        <v>0</v>
      </c>
      <c r="F30" s="29">
        <v>1060</v>
      </c>
      <c r="G30" s="29">
        <v>2605485.673</v>
      </c>
      <c r="H30" s="29">
        <v>1199654.8799999999</v>
      </c>
      <c r="I30" s="29">
        <v>901</v>
      </c>
      <c r="J30" s="29">
        <v>1019465</v>
      </c>
      <c r="K30" s="29" t="s">
        <v>2120</v>
      </c>
      <c r="L30" s="175" t="s">
        <v>2121</v>
      </c>
      <c r="M30" s="29">
        <v>3073</v>
      </c>
      <c r="N30" s="29" t="s">
        <v>544</v>
      </c>
      <c r="O30" s="29">
        <v>307300</v>
      </c>
      <c r="P30" s="29">
        <v>2605483.5040000002</v>
      </c>
      <c r="Q30" s="29">
        <v>1199655.304</v>
      </c>
      <c r="R30" s="29" t="s">
        <v>535</v>
      </c>
      <c r="S30" s="29">
        <v>150</v>
      </c>
      <c r="T30" s="29" t="s">
        <v>2123</v>
      </c>
      <c r="U30" s="29">
        <v>0</v>
      </c>
      <c r="V30" s="29" t="s">
        <v>2122</v>
      </c>
      <c r="X30" s="29" t="s">
        <v>518</v>
      </c>
    </row>
    <row r="31" spans="1:24" x14ac:dyDescent="0.25">
      <c r="A31" s="29" t="s">
        <v>117</v>
      </c>
      <c r="B31" s="29">
        <v>359</v>
      </c>
      <c r="C31" s="29" t="s">
        <v>221</v>
      </c>
      <c r="D31" s="29">
        <v>502120366</v>
      </c>
      <c r="E31" s="29">
        <v>0</v>
      </c>
      <c r="F31" s="29">
        <v>1060</v>
      </c>
      <c r="G31" s="29">
        <v>2609830.5959999999</v>
      </c>
      <c r="H31" s="29">
        <v>1201141.048</v>
      </c>
      <c r="I31" s="29">
        <v>901</v>
      </c>
      <c r="J31" s="29">
        <v>1019760</v>
      </c>
      <c r="K31" s="29" t="s">
        <v>3520</v>
      </c>
      <c r="L31" s="175" t="s">
        <v>3521</v>
      </c>
      <c r="M31" s="29">
        <v>3068</v>
      </c>
      <c r="N31" s="29" t="s">
        <v>3522</v>
      </c>
      <c r="O31" s="29">
        <v>306800</v>
      </c>
      <c r="P31" s="29">
        <v>2609830.733</v>
      </c>
      <c r="Q31" s="29">
        <v>1201141.1089999999</v>
      </c>
      <c r="R31" s="29" t="s">
        <v>3523</v>
      </c>
      <c r="S31" s="29">
        <v>115</v>
      </c>
      <c r="T31" s="29" t="s">
        <v>3524</v>
      </c>
      <c r="U31" s="29">
        <v>0</v>
      </c>
      <c r="V31" s="29" t="s">
        <v>3525</v>
      </c>
      <c r="X31" s="29" t="s">
        <v>518</v>
      </c>
    </row>
    <row r="32" spans="1:24" x14ac:dyDescent="0.25">
      <c r="A32" s="29" t="s">
        <v>117</v>
      </c>
      <c r="B32" s="29">
        <v>359</v>
      </c>
      <c r="C32" s="29" t="s">
        <v>221</v>
      </c>
      <c r="D32" s="29">
        <v>192050522</v>
      </c>
      <c r="E32" s="29">
        <v>0</v>
      </c>
      <c r="F32" s="29">
        <v>1060</v>
      </c>
      <c r="G32" s="29">
        <v>2609837.08</v>
      </c>
      <c r="H32" s="29">
        <v>1201139.9099999999</v>
      </c>
      <c r="I32" s="29">
        <v>904</v>
      </c>
      <c r="J32" s="29">
        <v>1019760</v>
      </c>
      <c r="K32" s="29" t="s">
        <v>3520</v>
      </c>
      <c r="L32" s="175" t="s">
        <v>3521</v>
      </c>
      <c r="M32" s="29">
        <v>3068</v>
      </c>
      <c r="N32" s="29" t="s">
        <v>3522</v>
      </c>
      <c r="O32" s="29">
        <v>306800</v>
      </c>
      <c r="R32" s="29" t="s">
        <v>3526</v>
      </c>
      <c r="S32" s="29">
        <v>115</v>
      </c>
      <c r="U32" s="29">
        <v>0</v>
      </c>
      <c r="V32" s="29" t="s">
        <v>3525</v>
      </c>
      <c r="X32" s="29" t="s">
        <v>518</v>
      </c>
    </row>
    <row r="33" spans="1:24" x14ac:dyDescent="0.25">
      <c r="A33" s="29" t="s">
        <v>117</v>
      </c>
      <c r="B33" s="29">
        <v>359</v>
      </c>
      <c r="C33" s="29" t="s">
        <v>221</v>
      </c>
      <c r="D33" s="29">
        <v>502120365</v>
      </c>
      <c r="E33" s="29">
        <v>0</v>
      </c>
      <c r="F33" s="29">
        <v>1060</v>
      </c>
      <c r="G33" s="29">
        <v>2609837.0040000002</v>
      </c>
      <c r="H33" s="29">
        <v>1201142.28</v>
      </c>
      <c r="I33" s="29">
        <v>901</v>
      </c>
      <c r="J33" s="29">
        <v>1019760</v>
      </c>
      <c r="K33" s="29" t="s">
        <v>3520</v>
      </c>
      <c r="L33" s="175" t="s">
        <v>3527</v>
      </c>
      <c r="M33" s="29">
        <v>3068</v>
      </c>
      <c r="N33" s="29" t="s">
        <v>3522</v>
      </c>
      <c r="O33" s="29">
        <v>306800</v>
      </c>
      <c r="P33" s="29">
        <v>2609836.9789999998</v>
      </c>
      <c r="Q33" s="29">
        <v>1201142.3370000001</v>
      </c>
      <c r="R33" s="29" t="s">
        <v>3528</v>
      </c>
      <c r="S33" s="29">
        <v>115</v>
      </c>
      <c r="T33" s="29" t="s">
        <v>3524</v>
      </c>
      <c r="U33" s="29">
        <v>0</v>
      </c>
      <c r="V33" s="29" t="s">
        <v>3525</v>
      </c>
      <c r="X33" s="29" t="s">
        <v>518</v>
      </c>
    </row>
    <row r="34" spans="1:24" x14ac:dyDescent="0.25">
      <c r="A34" s="29" t="s">
        <v>117</v>
      </c>
      <c r="B34" s="29">
        <v>359</v>
      </c>
      <c r="C34" s="29" t="s">
        <v>221</v>
      </c>
      <c r="D34" s="29">
        <v>192050520</v>
      </c>
      <c r="E34" s="29">
        <v>0</v>
      </c>
      <c r="F34" s="29">
        <v>1060</v>
      </c>
      <c r="G34" s="29">
        <v>2609839.87</v>
      </c>
      <c r="H34" s="29">
        <v>1201141.45</v>
      </c>
      <c r="I34" s="29">
        <v>904</v>
      </c>
      <c r="J34" s="29">
        <v>1019760</v>
      </c>
      <c r="K34" s="29" t="s">
        <v>3520</v>
      </c>
      <c r="L34" s="175" t="s">
        <v>3527</v>
      </c>
      <c r="M34" s="29">
        <v>3068</v>
      </c>
      <c r="N34" s="29" t="s">
        <v>3522</v>
      </c>
      <c r="O34" s="29">
        <v>306800</v>
      </c>
      <c r="R34" s="29" t="s">
        <v>3529</v>
      </c>
      <c r="S34" s="29">
        <v>115</v>
      </c>
      <c r="U34" s="29">
        <v>0</v>
      </c>
      <c r="V34" s="29" t="s">
        <v>3525</v>
      </c>
      <c r="X34" s="29" t="s">
        <v>518</v>
      </c>
    </row>
    <row r="35" spans="1:24" x14ac:dyDescent="0.25">
      <c r="A35" s="29" t="s">
        <v>117</v>
      </c>
      <c r="B35" s="29">
        <v>360</v>
      </c>
      <c r="C35" s="29" t="s">
        <v>222</v>
      </c>
      <c r="D35" s="29">
        <v>191954014</v>
      </c>
      <c r="E35" s="29">
        <v>0</v>
      </c>
      <c r="F35" s="29">
        <v>1060</v>
      </c>
      <c r="G35" s="29">
        <v>2591534.3200000003</v>
      </c>
      <c r="H35" s="29">
        <v>1203437.0360000001</v>
      </c>
      <c r="I35" s="29">
        <v>909</v>
      </c>
      <c r="J35" s="29">
        <v>1019895</v>
      </c>
      <c r="K35" s="29" t="s">
        <v>568</v>
      </c>
      <c r="L35" s="175" t="s">
        <v>537</v>
      </c>
      <c r="M35" s="29">
        <v>3034</v>
      </c>
      <c r="N35" s="29" t="s">
        <v>569</v>
      </c>
      <c r="O35" s="29">
        <v>303400</v>
      </c>
      <c r="R35" s="29" t="s">
        <v>568</v>
      </c>
      <c r="S35" s="29">
        <v>150</v>
      </c>
      <c r="U35" s="29">
        <v>0</v>
      </c>
      <c r="V35" s="29" t="s">
        <v>570</v>
      </c>
      <c r="X35" s="29" t="s">
        <v>518</v>
      </c>
    </row>
    <row r="36" spans="1:24" x14ac:dyDescent="0.25">
      <c r="A36" s="29" t="s">
        <v>117</v>
      </c>
      <c r="B36" s="29">
        <v>360</v>
      </c>
      <c r="C36" s="29" t="s">
        <v>222</v>
      </c>
      <c r="D36" s="29">
        <v>1282931</v>
      </c>
      <c r="E36" s="29">
        <v>1</v>
      </c>
      <c r="F36" s="29">
        <v>1030</v>
      </c>
      <c r="G36" s="29">
        <v>2591567.2960000001</v>
      </c>
      <c r="H36" s="29">
        <v>1203448.7220000001</v>
      </c>
      <c r="I36" s="29">
        <v>905</v>
      </c>
      <c r="J36" s="29">
        <v>1019895</v>
      </c>
      <c r="K36" s="29" t="s">
        <v>568</v>
      </c>
      <c r="L36" s="175" t="s">
        <v>537</v>
      </c>
      <c r="M36" s="29">
        <v>3034</v>
      </c>
      <c r="N36" s="29" t="s">
        <v>569</v>
      </c>
      <c r="O36" s="29">
        <v>303400</v>
      </c>
      <c r="S36" s="29">
        <v>150</v>
      </c>
      <c r="T36" s="29" t="s">
        <v>571</v>
      </c>
      <c r="U36" s="29">
        <v>0</v>
      </c>
      <c r="V36" s="29" t="s">
        <v>570</v>
      </c>
      <c r="X36" s="29" t="s">
        <v>518</v>
      </c>
    </row>
    <row r="37" spans="1:24" x14ac:dyDescent="0.25">
      <c r="A37" s="29" t="s">
        <v>117</v>
      </c>
      <c r="B37" s="29">
        <v>371</v>
      </c>
      <c r="C37" s="29" t="s">
        <v>226</v>
      </c>
      <c r="D37" s="29">
        <v>1757600</v>
      </c>
      <c r="E37" s="29">
        <v>0</v>
      </c>
      <c r="F37" s="29">
        <v>1025</v>
      </c>
      <c r="G37" s="29">
        <v>2588163.2400000002</v>
      </c>
      <c r="H37" s="29">
        <v>1221265.49</v>
      </c>
      <c r="I37" s="29">
        <v>901</v>
      </c>
      <c r="J37" s="29">
        <v>1020368</v>
      </c>
      <c r="K37" s="29" t="s">
        <v>577</v>
      </c>
      <c r="L37" s="175" t="s">
        <v>551</v>
      </c>
      <c r="M37" s="29">
        <v>2504</v>
      </c>
      <c r="N37" s="29" t="s">
        <v>226</v>
      </c>
      <c r="O37" s="29">
        <v>250400</v>
      </c>
      <c r="P37" s="29">
        <v>2588166.4580000001</v>
      </c>
      <c r="Q37" s="29">
        <v>1221266.074</v>
      </c>
      <c r="S37" s="29">
        <v>101</v>
      </c>
      <c r="T37" s="29" t="s">
        <v>578</v>
      </c>
      <c r="U37" s="29">
        <v>0</v>
      </c>
      <c r="V37" s="29" t="s">
        <v>579</v>
      </c>
      <c r="X37" s="29" t="s">
        <v>518</v>
      </c>
    </row>
    <row r="38" spans="1:24" x14ac:dyDescent="0.25">
      <c r="A38" s="29" t="s">
        <v>117</v>
      </c>
      <c r="B38" s="29">
        <v>371</v>
      </c>
      <c r="C38" s="29" t="s">
        <v>226</v>
      </c>
      <c r="D38" s="29">
        <v>191927425</v>
      </c>
      <c r="E38" s="29">
        <v>0</v>
      </c>
      <c r="F38" s="29">
        <v>1060</v>
      </c>
      <c r="G38" s="29">
        <v>2588171.625</v>
      </c>
      <c r="H38" s="29">
        <v>1221246.639</v>
      </c>
      <c r="I38" s="29">
        <v>905</v>
      </c>
      <c r="J38" s="29">
        <v>1020368</v>
      </c>
      <c r="K38" s="29" t="s">
        <v>577</v>
      </c>
      <c r="L38" s="175" t="s">
        <v>541</v>
      </c>
      <c r="M38" s="29">
        <v>2504</v>
      </c>
      <c r="N38" s="29" t="s">
        <v>226</v>
      </c>
      <c r="O38" s="29">
        <v>250400</v>
      </c>
      <c r="S38" s="29">
        <v>101</v>
      </c>
      <c r="T38" s="29" t="s">
        <v>580</v>
      </c>
      <c r="U38" s="29">
        <v>0</v>
      </c>
      <c r="V38" s="29" t="s">
        <v>581</v>
      </c>
      <c r="X38" s="29" t="s">
        <v>518</v>
      </c>
    </row>
    <row r="39" spans="1:24" x14ac:dyDescent="0.25">
      <c r="A39" s="29" t="s">
        <v>117</v>
      </c>
      <c r="B39" s="29">
        <v>383</v>
      </c>
      <c r="C39" s="29" t="s">
        <v>230</v>
      </c>
      <c r="D39" s="29">
        <v>1298525</v>
      </c>
      <c r="E39" s="29">
        <v>0</v>
      </c>
      <c r="F39" s="29">
        <v>1025</v>
      </c>
      <c r="G39" s="29">
        <v>2594452.2570000002</v>
      </c>
      <c r="H39" s="29">
        <v>1221088.7</v>
      </c>
      <c r="I39" s="29">
        <v>901</v>
      </c>
      <c r="J39" s="29">
        <v>1020665</v>
      </c>
      <c r="K39" s="29" t="s">
        <v>583</v>
      </c>
      <c r="L39" s="175" t="s">
        <v>573</v>
      </c>
      <c r="M39" s="29">
        <v>3294</v>
      </c>
      <c r="N39" s="29" t="s">
        <v>230</v>
      </c>
      <c r="O39" s="29">
        <v>329400</v>
      </c>
      <c r="P39" s="29">
        <v>2594451.9580000001</v>
      </c>
      <c r="Q39" s="29">
        <v>1221089.3600000001</v>
      </c>
      <c r="S39" s="29">
        <v>101</v>
      </c>
      <c r="T39" s="29" t="s">
        <v>584</v>
      </c>
      <c r="U39" s="29">
        <v>0</v>
      </c>
      <c r="V39" s="29" t="s">
        <v>585</v>
      </c>
      <c r="X39" s="29" t="s">
        <v>552</v>
      </c>
    </row>
    <row r="40" spans="1:24" x14ac:dyDescent="0.25">
      <c r="A40" s="29" t="s">
        <v>117</v>
      </c>
      <c r="B40" s="29">
        <v>383</v>
      </c>
      <c r="C40" s="29" t="s">
        <v>230</v>
      </c>
      <c r="D40" s="29">
        <v>504027580</v>
      </c>
      <c r="E40" s="29">
        <v>0</v>
      </c>
      <c r="F40" s="29">
        <v>1060</v>
      </c>
      <c r="G40" s="29">
        <v>2594460.3339999998</v>
      </c>
      <c r="H40" s="29">
        <v>1221081.4269999999</v>
      </c>
      <c r="I40" s="29">
        <v>901</v>
      </c>
      <c r="J40" s="29">
        <v>1020665</v>
      </c>
      <c r="K40" s="29" t="s">
        <v>583</v>
      </c>
      <c r="L40" s="175" t="s">
        <v>542</v>
      </c>
      <c r="M40" s="29">
        <v>3294</v>
      </c>
      <c r="N40" s="29" t="s">
        <v>230</v>
      </c>
      <c r="O40" s="29">
        <v>329400</v>
      </c>
      <c r="S40" s="29">
        <v>101</v>
      </c>
      <c r="T40" s="29" t="s">
        <v>584</v>
      </c>
      <c r="U40" s="29">
        <v>0</v>
      </c>
      <c r="V40" s="29" t="s">
        <v>585</v>
      </c>
      <c r="X40" s="29" t="s">
        <v>518</v>
      </c>
    </row>
    <row r="41" spans="1:24" x14ac:dyDescent="0.25">
      <c r="A41" s="29" t="s">
        <v>117</v>
      </c>
      <c r="B41" s="29">
        <v>386</v>
      </c>
      <c r="C41" s="29" t="s">
        <v>232</v>
      </c>
      <c r="D41" s="29">
        <v>502066634</v>
      </c>
      <c r="E41" s="29">
        <v>0</v>
      </c>
      <c r="F41" s="29">
        <v>1060</v>
      </c>
      <c r="G41" s="29">
        <v>2593728.1239999998</v>
      </c>
      <c r="H41" s="29">
        <v>1221337.284</v>
      </c>
      <c r="I41" s="29">
        <v>901</v>
      </c>
      <c r="J41" s="29">
        <v>2391711</v>
      </c>
      <c r="K41" s="29" t="s">
        <v>583</v>
      </c>
      <c r="L41" s="175" t="s">
        <v>573</v>
      </c>
      <c r="M41" s="29">
        <v>3294</v>
      </c>
      <c r="N41" s="29" t="s">
        <v>230</v>
      </c>
      <c r="O41" s="29">
        <v>329400</v>
      </c>
      <c r="S41" s="29">
        <v>101</v>
      </c>
      <c r="T41" s="29" t="s">
        <v>586</v>
      </c>
      <c r="U41" s="29">
        <v>0</v>
      </c>
      <c r="V41" s="29" t="s">
        <v>1685</v>
      </c>
      <c r="X41" s="29" t="s">
        <v>518</v>
      </c>
    </row>
    <row r="42" spans="1:24" x14ac:dyDescent="0.25">
      <c r="A42" s="29" t="s">
        <v>117</v>
      </c>
      <c r="B42" s="29">
        <v>386</v>
      </c>
      <c r="C42" s="29" t="s">
        <v>232</v>
      </c>
      <c r="D42" s="29">
        <v>502066633</v>
      </c>
      <c r="E42" s="29">
        <v>0</v>
      </c>
      <c r="F42" s="29">
        <v>1060</v>
      </c>
      <c r="G42" s="29">
        <v>2593709.3220000002</v>
      </c>
      <c r="H42" s="29">
        <v>1221333.101</v>
      </c>
      <c r="I42" s="29">
        <v>901</v>
      </c>
      <c r="J42" s="29">
        <v>2391711</v>
      </c>
      <c r="K42" s="29" t="s">
        <v>583</v>
      </c>
      <c r="L42" s="175" t="s">
        <v>542</v>
      </c>
      <c r="M42" s="29">
        <v>3294</v>
      </c>
      <c r="N42" s="29" t="s">
        <v>230</v>
      </c>
      <c r="O42" s="29">
        <v>329400</v>
      </c>
      <c r="S42" s="29">
        <v>101</v>
      </c>
      <c r="T42" s="29" t="s">
        <v>586</v>
      </c>
      <c r="U42" s="29">
        <v>0</v>
      </c>
      <c r="V42" s="29" t="s">
        <v>1685</v>
      </c>
      <c r="X42" s="29" t="s">
        <v>518</v>
      </c>
    </row>
    <row r="43" spans="1:24" x14ac:dyDescent="0.25">
      <c r="A43" s="29" t="s">
        <v>117</v>
      </c>
      <c r="B43" s="29">
        <v>388</v>
      </c>
      <c r="C43" s="29" t="s">
        <v>234</v>
      </c>
      <c r="D43" s="29">
        <v>191958331</v>
      </c>
      <c r="E43" s="29">
        <v>0</v>
      </c>
      <c r="F43" s="29">
        <v>1080</v>
      </c>
      <c r="G43" s="29">
        <v>2600703</v>
      </c>
      <c r="H43" s="29">
        <v>1224934.25</v>
      </c>
      <c r="I43" s="29">
        <v>904</v>
      </c>
      <c r="J43" s="29">
        <v>1020928</v>
      </c>
      <c r="K43" s="29" t="s">
        <v>1785</v>
      </c>
      <c r="L43" s="175" t="s">
        <v>1786</v>
      </c>
      <c r="M43" s="29">
        <v>3297</v>
      </c>
      <c r="N43" s="29" t="s">
        <v>234</v>
      </c>
      <c r="O43" s="29">
        <v>329700</v>
      </c>
      <c r="R43" s="29" t="s">
        <v>601</v>
      </c>
      <c r="S43" s="29">
        <v>101</v>
      </c>
      <c r="T43" s="29" t="s">
        <v>1787</v>
      </c>
      <c r="U43" s="29">
        <v>0</v>
      </c>
      <c r="V43" s="29" t="s">
        <v>519</v>
      </c>
      <c r="X43" s="29" t="s">
        <v>518</v>
      </c>
    </row>
    <row r="44" spans="1:24" x14ac:dyDescent="0.25">
      <c r="A44" s="29" t="s">
        <v>117</v>
      </c>
      <c r="B44" s="29">
        <v>388</v>
      </c>
      <c r="C44" s="29" t="s">
        <v>234</v>
      </c>
      <c r="D44" s="29">
        <v>190093032</v>
      </c>
      <c r="E44" s="29">
        <v>0</v>
      </c>
      <c r="F44" s="29">
        <v>1060</v>
      </c>
      <c r="G44" s="29">
        <v>2600706.2969999998</v>
      </c>
      <c r="H44" s="29">
        <v>1224920.1340000001</v>
      </c>
      <c r="I44" s="29">
        <v>901</v>
      </c>
      <c r="J44" s="29">
        <v>1020928</v>
      </c>
      <c r="K44" s="29" t="s">
        <v>1785</v>
      </c>
      <c r="L44" s="175" t="s">
        <v>1786</v>
      </c>
      <c r="M44" s="29">
        <v>3297</v>
      </c>
      <c r="N44" s="29" t="s">
        <v>234</v>
      </c>
      <c r="O44" s="29">
        <v>329700</v>
      </c>
      <c r="P44" s="29">
        <v>2600707.1039999998</v>
      </c>
      <c r="Q44" s="29">
        <v>1224921.5449999999</v>
      </c>
      <c r="S44" s="29">
        <v>150</v>
      </c>
      <c r="T44" s="29" t="s">
        <v>1788</v>
      </c>
      <c r="U44" s="29">
        <v>0</v>
      </c>
      <c r="V44" s="29" t="s">
        <v>1789</v>
      </c>
      <c r="X44" s="29" t="s">
        <v>518</v>
      </c>
    </row>
    <row r="45" spans="1:24" x14ac:dyDescent="0.25">
      <c r="A45" s="29" t="s">
        <v>117</v>
      </c>
      <c r="B45" s="29">
        <v>394</v>
      </c>
      <c r="C45" s="29" t="s">
        <v>240</v>
      </c>
      <c r="D45" s="29">
        <v>190001149</v>
      </c>
      <c r="E45" s="29">
        <v>0</v>
      </c>
      <c r="F45" s="29">
        <v>1021</v>
      </c>
      <c r="G45" s="29">
        <v>2595849.2239999999</v>
      </c>
      <c r="H45" s="29">
        <v>1214381.4029999999</v>
      </c>
      <c r="I45" s="29">
        <v>901</v>
      </c>
      <c r="J45" s="29">
        <v>2001063</v>
      </c>
      <c r="K45" s="29" t="s">
        <v>549</v>
      </c>
      <c r="L45" s="175" t="s">
        <v>550</v>
      </c>
      <c r="M45" s="29">
        <v>3257</v>
      </c>
      <c r="N45" s="29" t="s">
        <v>185</v>
      </c>
      <c r="O45" s="29">
        <v>325700</v>
      </c>
      <c r="P45" s="29">
        <v>2595849.2220000001</v>
      </c>
      <c r="Q45" s="29">
        <v>1214381.0349999999</v>
      </c>
      <c r="S45" s="29">
        <v>101</v>
      </c>
      <c r="T45" s="29" t="s">
        <v>2214</v>
      </c>
      <c r="U45" s="29">
        <v>0</v>
      </c>
      <c r="V45" s="29" t="s">
        <v>587</v>
      </c>
      <c r="X45" s="29" t="s">
        <v>518</v>
      </c>
    </row>
    <row r="46" spans="1:24" x14ac:dyDescent="0.25">
      <c r="A46" s="29" t="s">
        <v>117</v>
      </c>
      <c r="B46" s="29">
        <v>404</v>
      </c>
      <c r="C46" s="29" t="s">
        <v>244</v>
      </c>
      <c r="D46" s="29">
        <v>190208494</v>
      </c>
      <c r="E46" s="29">
        <v>0</v>
      </c>
      <c r="F46" s="29">
        <v>1040</v>
      </c>
      <c r="G46" s="29">
        <v>2614481.7089999998</v>
      </c>
      <c r="H46" s="29">
        <v>1209878.0330000001</v>
      </c>
      <c r="I46" s="29">
        <v>905</v>
      </c>
      <c r="J46" s="29">
        <v>2423620</v>
      </c>
      <c r="K46" s="29" t="s">
        <v>588</v>
      </c>
      <c r="L46" s="175" t="s">
        <v>573</v>
      </c>
      <c r="M46" s="29">
        <v>3414</v>
      </c>
      <c r="N46" s="29" t="s">
        <v>256</v>
      </c>
      <c r="O46" s="29">
        <v>341400</v>
      </c>
      <c r="P46" s="29">
        <v>2614481.6320000002</v>
      </c>
      <c r="Q46" s="29">
        <v>1209877.963</v>
      </c>
      <c r="R46" s="29" t="s">
        <v>589</v>
      </c>
      <c r="S46" s="29">
        <v>101</v>
      </c>
      <c r="T46" s="29" t="s">
        <v>590</v>
      </c>
      <c r="U46" s="29">
        <v>0</v>
      </c>
      <c r="V46" s="29" t="s">
        <v>591</v>
      </c>
      <c r="X46" s="29" t="s">
        <v>518</v>
      </c>
    </row>
    <row r="47" spans="1:24" x14ac:dyDescent="0.25">
      <c r="A47" s="29" t="s">
        <v>117</v>
      </c>
      <c r="B47" s="29">
        <v>404</v>
      </c>
      <c r="C47" s="29" t="s">
        <v>244</v>
      </c>
      <c r="D47" s="29">
        <v>191951612</v>
      </c>
      <c r="E47" s="29">
        <v>0</v>
      </c>
      <c r="F47" s="29">
        <v>1080</v>
      </c>
      <c r="G47" s="29">
        <v>2613513</v>
      </c>
      <c r="H47" s="29">
        <v>1212642</v>
      </c>
      <c r="I47" s="29">
        <v>905</v>
      </c>
      <c r="J47" s="29">
        <v>1021278</v>
      </c>
      <c r="K47" s="29" t="s">
        <v>946</v>
      </c>
      <c r="L47" s="175" t="s">
        <v>543</v>
      </c>
      <c r="M47" s="29">
        <v>3400</v>
      </c>
      <c r="N47" s="29" t="s">
        <v>244</v>
      </c>
      <c r="O47" s="29">
        <v>340000</v>
      </c>
      <c r="R47" s="29" t="s">
        <v>600</v>
      </c>
      <c r="S47" s="29">
        <v>101</v>
      </c>
      <c r="U47" s="29">
        <v>0</v>
      </c>
      <c r="V47" s="29" t="s">
        <v>947</v>
      </c>
      <c r="X47" s="29" t="s">
        <v>518</v>
      </c>
    </row>
    <row r="48" spans="1:24" x14ac:dyDescent="0.25">
      <c r="A48" s="29" t="s">
        <v>117</v>
      </c>
      <c r="B48" s="29">
        <v>404</v>
      </c>
      <c r="C48" s="29" t="s">
        <v>244</v>
      </c>
      <c r="D48" s="29">
        <v>504062076</v>
      </c>
      <c r="E48" s="29">
        <v>0</v>
      </c>
      <c r="F48" s="29">
        <v>1080</v>
      </c>
      <c r="G48" s="29">
        <v>2613512.11</v>
      </c>
      <c r="H48" s="29">
        <v>1212640.537</v>
      </c>
      <c r="I48" s="29">
        <v>901</v>
      </c>
      <c r="J48" s="29">
        <v>1021278</v>
      </c>
      <c r="K48" s="29" t="s">
        <v>946</v>
      </c>
      <c r="L48" s="175" t="s">
        <v>543</v>
      </c>
      <c r="M48" s="29">
        <v>3400</v>
      </c>
      <c r="N48" s="29" t="s">
        <v>244</v>
      </c>
      <c r="O48" s="29">
        <v>340000</v>
      </c>
      <c r="P48" s="29">
        <v>2613512.11</v>
      </c>
      <c r="Q48" s="29">
        <v>1212640.5379999999</v>
      </c>
      <c r="R48" s="29" t="s">
        <v>597</v>
      </c>
      <c r="S48" s="29">
        <v>101</v>
      </c>
      <c r="T48" s="29" t="s">
        <v>948</v>
      </c>
      <c r="U48" s="29">
        <v>0</v>
      </c>
      <c r="V48" s="29" t="s">
        <v>947</v>
      </c>
      <c r="X48" s="29" t="s">
        <v>518</v>
      </c>
    </row>
    <row r="49" spans="1:24" x14ac:dyDescent="0.25">
      <c r="A49" s="29" t="s">
        <v>117</v>
      </c>
      <c r="B49" s="29">
        <v>418</v>
      </c>
      <c r="C49" s="29" t="s">
        <v>256</v>
      </c>
      <c r="D49" s="29">
        <v>1314489</v>
      </c>
      <c r="E49" s="29">
        <v>0</v>
      </c>
      <c r="F49" s="29">
        <v>1030</v>
      </c>
      <c r="G49" s="29">
        <v>2614265.6069999998</v>
      </c>
      <c r="H49" s="29">
        <v>1209868.3119999999</v>
      </c>
      <c r="I49" s="29">
        <v>901</v>
      </c>
      <c r="J49" s="29">
        <v>1022060</v>
      </c>
      <c r="K49" s="29" t="s">
        <v>588</v>
      </c>
      <c r="L49" s="175" t="s">
        <v>573</v>
      </c>
      <c r="M49" s="29">
        <v>3414</v>
      </c>
      <c r="N49" s="29" t="s">
        <v>256</v>
      </c>
      <c r="O49" s="29">
        <v>341400</v>
      </c>
      <c r="P49" s="29">
        <v>2614254.659</v>
      </c>
      <c r="Q49" s="29">
        <v>1209861.405</v>
      </c>
      <c r="S49" s="29">
        <v>101</v>
      </c>
      <c r="T49" s="29" t="s">
        <v>592</v>
      </c>
      <c r="U49" s="29">
        <v>0</v>
      </c>
      <c r="V49" s="29" t="s">
        <v>593</v>
      </c>
      <c r="X49" s="29" t="s">
        <v>518</v>
      </c>
    </row>
    <row r="50" spans="1:24" x14ac:dyDescent="0.25">
      <c r="A50" s="29" t="s">
        <v>117</v>
      </c>
      <c r="B50" s="29">
        <v>420</v>
      </c>
      <c r="C50" s="29" t="s">
        <v>257</v>
      </c>
      <c r="D50" s="29">
        <v>192021588</v>
      </c>
      <c r="E50" s="29">
        <v>0</v>
      </c>
      <c r="F50" s="29">
        <v>1025</v>
      </c>
      <c r="G50" s="29">
        <v>2610129.75</v>
      </c>
      <c r="H50" s="29">
        <v>1214978.5</v>
      </c>
      <c r="I50" s="29">
        <v>904</v>
      </c>
      <c r="J50" s="29">
        <v>1022127</v>
      </c>
      <c r="K50" s="29" t="s">
        <v>594</v>
      </c>
      <c r="L50" s="175" t="s">
        <v>551</v>
      </c>
      <c r="M50" s="29">
        <v>3422</v>
      </c>
      <c r="N50" s="29" t="s">
        <v>595</v>
      </c>
      <c r="O50" s="29">
        <v>342201</v>
      </c>
      <c r="S50" s="29">
        <v>101</v>
      </c>
      <c r="T50" s="29" t="s">
        <v>2124</v>
      </c>
      <c r="U50" s="29">
        <v>0</v>
      </c>
      <c r="V50" s="29" t="s">
        <v>596</v>
      </c>
      <c r="X50" s="29" t="s">
        <v>552</v>
      </c>
    </row>
    <row r="51" spans="1:24" x14ac:dyDescent="0.25">
      <c r="A51" s="29" t="s">
        <v>117</v>
      </c>
      <c r="B51" s="29">
        <v>443</v>
      </c>
      <c r="C51" s="29" t="s">
        <v>271</v>
      </c>
      <c r="D51" s="29">
        <v>192047985</v>
      </c>
      <c r="E51" s="29">
        <v>0</v>
      </c>
      <c r="F51" s="29">
        <v>1080</v>
      </c>
      <c r="G51" s="29">
        <v>2566509.5619999999</v>
      </c>
      <c r="H51" s="29">
        <v>1222365.625</v>
      </c>
      <c r="I51" s="29">
        <v>904</v>
      </c>
      <c r="J51" s="29">
        <v>1022768</v>
      </c>
      <c r="K51" s="29" t="s">
        <v>3218</v>
      </c>
      <c r="L51" s="175" t="s">
        <v>3219</v>
      </c>
      <c r="M51" s="29">
        <v>2610</v>
      </c>
      <c r="N51" s="29" t="s">
        <v>3220</v>
      </c>
      <c r="O51" s="29">
        <v>261000</v>
      </c>
      <c r="R51" s="29" t="s">
        <v>3221</v>
      </c>
      <c r="S51" s="29">
        <v>101</v>
      </c>
      <c r="T51" s="29" t="s">
        <v>3222</v>
      </c>
      <c r="U51" s="29">
        <v>0</v>
      </c>
      <c r="V51" s="29" t="s">
        <v>3223</v>
      </c>
      <c r="X51" s="29" t="s">
        <v>518</v>
      </c>
    </row>
    <row r="52" spans="1:24" x14ac:dyDescent="0.25">
      <c r="A52" s="29" t="s">
        <v>117</v>
      </c>
      <c r="B52" s="29">
        <v>443</v>
      </c>
      <c r="C52" s="29" t="s">
        <v>271</v>
      </c>
      <c r="D52" s="29">
        <v>504001604</v>
      </c>
      <c r="E52" s="29">
        <v>0</v>
      </c>
      <c r="F52" s="29">
        <v>1060</v>
      </c>
      <c r="G52" s="29">
        <v>2566508.156</v>
      </c>
      <c r="H52" s="29">
        <v>1222365.7649999999</v>
      </c>
      <c r="I52" s="29">
        <v>901</v>
      </c>
      <c r="J52" s="29">
        <v>1022768</v>
      </c>
      <c r="K52" s="29" t="s">
        <v>3218</v>
      </c>
      <c r="L52" s="175" t="s">
        <v>3219</v>
      </c>
      <c r="M52" s="29">
        <v>2610</v>
      </c>
      <c r="N52" s="29" t="s">
        <v>3220</v>
      </c>
      <c r="O52" s="29">
        <v>261000</v>
      </c>
      <c r="P52" s="29">
        <v>2566506.9589999998</v>
      </c>
      <c r="Q52" s="29">
        <v>1222368.0789999999</v>
      </c>
      <c r="S52" s="29">
        <v>115</v>
      </c>
      <c r="T52" s="29" t="s">
        <v>3222</v>
      </c>
      <c r="U52" s="29">
        <v>0</v>
      </c>
      <c r="V52" s="29" t="s">
        <v>3223</v>
      </c>
      <c r="X52" s="29" t="s">
        <v>518</v>
      </c>
    </row>
    <row r="53" spans="1:24" x14ac:dyDescent="0.25">
      <c r="A53" s="29" t="s">
        <v>117</v>
      </c>
      <c r="B53" s="29">
        <v>494</v>
      </c>
      <c r="C53" s="29" t="s">
        <v>281</v>
      </c>
      <c r="D53" s="29">
        <v>190450828</v>
      </c>
      <c r="E53" s="29">
        <v>0</v>
      </c>
      <c r="F53" s="29">
        <v>1060</v>
      </c>
      <c r="G53" s="29">
        <v>2570132.4759999998</v>
      </c>
      <c r="H53" s="29">
        <v>1208027.8759999999</v>
      </c>
      <c r="I53" s="29">
        <v>901</v>
      </c>
      <c r="J53" s="29">
        <v>1023109</v>
      </c>
      <c r="K53" s="29" t="s">
        <v>3757</v>
      </c>
      <c r="L53" s="175" t="s">
        <v>3758</v>
      </c>
      <c r="M53" s="29">
        <v>3238</v>
      </c>
      <c r="N53" s="29" t="s">
        <v>281</v>
      </c>
      <c r="O53" s="29">
        <v>323800</v>
      </c>
      <c r="P53" s="29">
        <v>2570099.0060000001</v>
      </c>
      <c r="Q53" s="29">
        <v>1208010.2960000001</v>
      </c>
      <c r="R53" s="29" t="s">
        <v>3759</v>
      </c>
      <c r="S53" s="29">
        <v>101</v>
      </c>
      <c r="T53" s="29" t="s">
        <v>3760</v>
      </c>
      <c r="U53" s="29">
        <v>0</v>
      </c>
      <c r="V53" s="29" t="s">
        <v>3761</v>
      </c>
      <c r="X53" s="29" t="s">
        <v>518</v>
      </c>
    </row>
    <row r="54" spans="1:24" x14ac:dyDescent="0.25">
      <c r="A54" s="29" t="s">
        <v>117</v>
      </c>
      <c r="B54" s="29">
        <v>494</v>
      </c>
      <c r="C54" s="29" t="s">
        <v>281</v>
      </c>
      <c r="D54" s="29">
        <v>192051972</v>
      </c>
      <c r="E54" s="29">
        <v>0</v>
      </c>
      <c r="F54" s="29">
        <v>1010</v>
      </c>
      <c r="G54" s="29">
        <v>2570092</v>
      </c>
      <c r="H54" s="29">
        <v>1208021.5</v>
      </c>
      <c r="I54" s="29">
        <v>904</v>
      </c>
      <c r="J54" s="29">
        <v>1023109</v>
      </c>
      <c r="K54" s="29" t="s">
        <v>3757</v>
      </c>
      <c r="L54" s="175" t="s">
        <v>3758</v>
      </c>
      <c r="M54" s="29">
        <v>3238</v>
      </c>
      <c r="N54" s="29" t="s">
        <v>281</v>
      </c>
      <c r="O54" s="29">
        <v>323800</v>
      </c>
      <c r="R54" s="29" t="s">
        <v>3762</v>
      </c>
      <c r="S54" s="29">
        <v>101</v>
      </c>
      <c r="T54" s="29" t="s">
        <v>3760</v>
      </c>
      <c r="U54" s="29">
        <v>0</v>
      </c>
      <c r="V54" s="29" t="s">
        <v>3761</v>
      </c>
      <c r="X54" s="29" t="s">
        <v>518</v>
      </c>
    </row>
    <row r="55" spans="1:24" x14ac:dyDescent="0.25">
      <c r="A55" s="29" t="s">
        <v>117</v>
      </c>
      <c r="B55" s="29">
        <v>538</v>
      </c>
      <c r="C55" s="29" t="s">
        <v>292</v>
      </c>
      <c r="D55" s="29">
        <v>502122489</v>
      </c>
      <c r="E55" s="29">
        <v>0</v>
      </c>
      <c r="F55" s="29">
        <v>1060</v>
      </c>
      <c r="G55" s="29">
        <v>2609506.4980000001</v>
      </c>
      <c r="H55" s="29">
        <v>1214169.915</v>
      </c>
      <c r="I55" s="29">
        <v>901</v>
      </c>
      <c r="J55" s="29">
        <v>2390622</v>
      </c>
      <c r="K55" s="29" t="s">
        <v>594</v>
      </c>
      <c r="L55" s="175" t="s">
        <v>551</v>
      </c>
      <c r="M55" s="29">
        <v>3422</v>
      </c>
      <c r="N55" s="29" t="s">
        <v>595</v>
      </c>
      <c r="O55" s="29">
        <v>342201</v>
      </c>
      <c r="S55" s="29">
        <v>101</v>
      </c>
      <c r="T55" s="29" t="s">
        <v>598</v>
      </c>
      <c r="U55" s="29">
        <v>1</v>
      </c>
      <c r="V55" s="29" t="s">
        <v>599</v>
      </c>
      <c r="X55" s="29" t="s">
        <v>518</v>
      </c>
    </row>
    <row r="56" spans="1:24" x14ac:dyDescent="0.25">
      <c r="A56" s="29" t="s">
        <v>117</v>
      </c>
      <c r="B56" s="29">
        <v>544</v>
      </c>
      <c r="C56" s="29" t="s">
        <v>296</v>
      </c>
      <c r="D56" s="29">
        <v>191739971</v>
      </c>
      <c r="E56" s="29">
        <v>0</v>
      </c>
      <c r="F56" s="29">
        <v>1080</v>
      </c>
      <c r="G56" s="29">
        <v>2601765.3059999999</v>
      </c>
      <c r="H56" s="29">
        <v>1206872.97</v>
      </c>
      <c r="I56" s="29">
        <v>901</v>
      </c>
      <c r="J56" s="29">
        <v>1023706</v>
      </c>
      <c r="K56" s="29" t="s">
        <v>3530</v>
      </c>
      <c r="L56" s="175" t="s">
        <v>3531</v>
      </c>
      <c r="M56" s="29">
        <v>3053</v>
      </c>
      <c r="N56" s="29" t="s">
        <v>297</v>
      </c>
      <c r="O56" s="29">
        <v>305300</v>
      </c>
      <c r="P56" s="29">
        <v>2601766.628</v>
      </c>
      <c r="Q56" s="29">
        <v>1206870.2479999999</v>
      </c>
      <c r="R56" s="29" t="s">
        <v>3532</v>
      </c>
      <c r="S56" s="29">
        <v>101</v>
      </c>
      <c r="T56" s="29" t="s">
        <v>3533</v>
      </c>
      <c r="U56" s="29">
        <v>0</v>
      </c>
      <c r="V56" s="29" t="s">
        <v>3534</v>
      </c>
      <c r="X56" s="29" t="s">
        <v>518</v>
      </c>
    </row>
    <row r="57" spans="1:24" x14ac:dyDescent="0.25">
      <c r="A57" s="29" t="s">
        <v>117</v>
      </c>
      <c r="B57" s="29">
        <v>546</v>
      </c>
      <c r="C57" s="29" t="s">
        <v>297</v>
      </c>
      <c r="D57" s="29">
        <v>192050039</v>
      </c>
      <c r="E57" s="29">
        <v>0</v>
      </c>
      <c r="F57" s="29">
        <v>1080</v>
      </c>
      <c r="G57" s="29">
        <v>2601761</v>
      </c>
      <c r="H57" s="29">
        <v>1206870</v>
      </c>
      <c r="I57" s="29">
        <v>905</v>
      </c>
      <c r="J57" s="29">
        <v>1023799</v>
      </c>
      <c r="K57" s="29" t="s">
        <v>3530</v>
      </c>
      <c r="L57" s="175" t="s">
        <v>3531</v>
      </c>
      <c r="M57" s="29">
        <v>3053</v>
      </c>
      <c r="N57" s="29" t="s">
        <v>297</v>
      </c>
      <c r="O57" s="29">
        <v>305300</v>
      </c>
      <c r="R57" s="29" t="s">
        <v>3535</v>
      </c>
      <c r="S57" s="29">
        <v>101</v>
      </c>
      <c r="T57" s="29" t="s">
        <v>3536</v>
      </c>
      <c r="U57" s="29">
        <v>546</v>
      </c>
      <c r="V57" s="29" t="s">
        <v>3537</v>
      </c>
      <c r="X57" s="29" t="s">
        <v>518</v>
      </c>
    </row>
    <row r="58" spans="1:24" x14ac:dyDescent="0.25">
      <c r="A58" s="29" t="s">
        <v>117</v>
      </c>
      <c r="B58" s="29">
        <v>552</v>
      </c>
      <c r="C58" s="29" t="s">
        <v>299</v>
      </c>
      <c r="D58" s="29">
        <v>1333475</v>
      </c>
      <c r="E58" s="29">
        <v>0</v>
      </c>
      <c r="F58" s="29">
        <v>1025</v>
      </c>
      <c r="G58" s="29">
        <v>2608160.7489999998</v>
      </c>
      <c r="H58" s="29">
        <v>1221348.888</v>
      </c>
      <c r="I58" s="29">
        <v>901</v>
      </c>
      <c r="J58" s="29">
        <v>1023934</v>
      </c>
      <c r="K58" s="29" t="s">
        <v>812</v>
      </c>
      <c r="L58" s="175" t="s">
        <v>576</v>
      </c>
      <c r="M58" s="29">
        <v>3427</v>
      </c>
      <c r="N58" s="29" t="s">
        <v>299</v>
      </c>
      <c r="O58" s="29">
        <v>342700</v>
      </c>
      <c r="P58" s="29">
        <v>2608162.7990000001</v>
      </c>
      <c r="Q58" s="29">
        <v>1221349.077</v>
      </c>
      <c r="S58" s="29">
        <v>150</v>
      </c>
      <c r="T58" s="29" t="s">
        <v>813</v>
      </c>
      <c r="U58" s="29">
        <v>0</v>
      </c>
      <c r="V58" s="29" t="s">
        <v>814</v>
      </c>
      <c r="X58" s="29" t="s">
        <v>552</v>
      </c>
    </row>
    <row r="59" spans="1:24" x14ac:dyDescent="0.25">
      <c r="A59" s="29" t="s">
        <v>117</v>
      </c>
      <c r="B59" s="29">
        <v>552</v>
      </c>
      <c r="C59" s="29" t="s">
        <v>299</v>
      </c>
      <c r="D59" s="29">
        <v>1333475</v>
      </c>
      <c r="E59" s="29">
        <v>1</v>
      </c>
      <c r="F59" s="29">
        <v>1025</v>
      </c>
      <c r="G59" s="29">
        <v>2608160.7489999998</v>
      </c>
      <c r="H59" s="29">
        <v>1221348.888</v>
      </c>
      <c r="I59" s="29">
        <v>901</v>
      </c>
      <c r="J59" s="29">
        <v>1023934</v>
      </c>
      <c r="K59" s="29" t="s">
        <v>812</v>
      </c>
      <c r="L59" s="175" t="s">
        <v>576</v>
      </c>
      <c r="M59" s="29">
        <v>3427</v>
      </c>
      <c r="N59" s="29" t="s">
        <v>299</v>
      </c>
      <c r="O59" s="29">
        <v>342700</v>
      </c>
      <c r="S59" s="29">
        <v>150</v>
      </c>
      <c r="T59" s="29" t="s">
        <v>813</v>
      </c>
      <c r="U59" s="29">
        <v>0</v>
      </c>
      <c r="V59" s="29" t="s">
        <v>814</v>
      </c>
      <c r="X59" s="29" t="s">
        <v>518</v>
      </c>
    </row>
    <row r="60" spans="1:24" x14ac:dyDescent="0.25">
      <c r="A60" s="29" t="s">
        <v>117</v>
      </c>
      <c r="B60" s="29">
        <v>563</v>
      </c>
      <c r="C60" s="29" t="s">
        <v>306</v>
      </c>
      <c r="D60" s="29">
        <v>190423188</v>
      </c>
      <c r="E60" s="29">
        <v>0</v>
      </c>
      <c r="F60" s="29">
        <v>1010</v>
      </c>
      <c r="G60" s="29">
        <v>2615512</v>
      </c>
      <c r="H60" s="29">
        <v>1158909</v>
      </c>
      <c r="I60" s="29">
        <v>906</v>
      </c>
      <c r="J60" s="29">
        <v>1024334</v>
      </c>
      <c r="K60" s="29" t="s">
        <v>602</v>
      </c>
      <c r="L60" s="175" t="s">
        <v>582</v>
      </c>
      <c r="M60" s="29">
        <v>3714</v>
      </c>
      <c r="N60" s="29" t="s">
        <v>306</v>
      </c>
      <c r="O60" s="29">
        <v>371400</v>
      </c>
      <c r="R60" s="29" t="s">
        <v>604</v>
      </c>
      <c r="S60" s="29">
        <v>101</v>
      </c>
      <c r="T60" s="29" t="s">
        <v>603</v>
      </c>
      <c r="U60" s="29">
        <v>0</v>
      </c>
      <c r="V60" s="29" t="s">
        <v>607</v>
      </c>
      <c r="X60" s="29" t="s">
        <v>518</v>
      </c>
    </row>
    <row r="61" spans="1:24" x14ac:dyDescent="0.25">
      <c r="A61" s="29" t="s">
        <v>117</v>
      </c>
      <c r="B61" s="29">
        <v>563</v>
      </c>
      <c r="C61" s="29" t="s">
        <v>306</v>
      </c>
      <c r="D61" s="29">
        <v>190423191</v>
      </c>
      <c r="E61" s="29">
        <v>0</v>
      </c>
      <c r="F61" s="29">
        <v>1010</v>
      </c>
      <c r="G61" s="29">
        <v>2615512</v>
      </c>
      <c r="H61" s="29">
        <v>1158909</v>
      </c>
      <c r="I61" s="29">
        <v>906</v>
      </c>
      <c r="J61" s="29">
        <v>1024334</v>
      </c>
      <c r="K61" s="29" t="s">
        <v>602</v>
      </c>
      <c r="L61" s="175" t="s">
        <v>582</v>
      </c>
      <c r="M61" s="29">
        <v>3714</v>
      </c>
      <c r="N61" s="29" t="s">
        <v>306</v>
      </c>
      <c r="O61" s="29">
        <v>371400</v>
      </c>
      <c r="R61" s="29" t="s">
        <v>605</v>
      </c>
      <c r="S61" s="29">
        <v>101</v>
      </c>
      <c r="T61" s="29" t="s">
        <v>603</v>
      </c>
      <c r="U61" s="29">
        <v>0</v>
      </c>
      <c r="V61" s="29" t="s">
        <v>607</v>
      </c>
      <c r="X61" s="29" t="s">
        <v>518</v>
      </c>
    </row>
    <row r="62" spans="1:24" x14ac:dyDescent="0.25">
      <c r="A62" s="29" t="s">
        <v>117</v>
      </c>
      <c r="B62" s="29">
        <v>563</v>
      </c>
      <c r="C62" s="29" t="s">
        <v>306</v>
      </c>
      <c r="D62" s="29">
        <v>191731171</v>
      </c>
      <c r="E62" s="29">
        <v>0</v>
      </c>
      <c r="F62" s="29">
        <v>1010</v>
      </c>
      <c r="G62" s="29">
        <v>2615556</v>
      </c>
      <c r="H62" s="29">
        <v>1158998</v>
      </c>
      <c r="I62" s="29">
        <v>909</v>
      </c>
      <c r="J62" s="29">
        <v>1024334</v>
      </c>
      <c r="K62" s="29" t="s">
        <v>602</v>
      </c>
      <c r="L62" s="175" t="s">
        <v>582</v>
      </c>
      <c r="M62" s="29">
        <v>3714</v>
      </c>
      <c r="N62" s="29" t="s">
        <v>306</v>
      </c>
      <c r="O62" s="29">
        <v>371400</v>
      </c>
      <c r="R62" s="29" t="s">
        <v>606</v>
      </c>
      <c r="S62" s="29">
        <v>101</v>
      </c>
      <c r="T62" s="29" t="s">
        <v>603</v>
      </c>
      <c r="U62" s="29">
        <v>0</v>
      </c>
      <c r="V62" s="29" t="s">
        <v>607</v>
      </c>
      <c r="X62" s="29" t="s">
        <v>518</v>
      </c>
    </row>
    <row r="63" spans="1:24" x14ac:dyDescent="0.25">
      <c r="A63" s="29" t="s">
        <v>117</v>
      </c>
      <c r="B63" s="29">
        <v>563</v>
      </c>
      <c r="C63" s="29" t="s">
        <v>306</v>
      </c>
      <c r="D63" s="29">
        <v>190423149</v>
      </c>
      <c r="E63" s="29">
        <v>0</v>
      </c>
      <c r="F63" s="29">
        <v>1010</v>
      </c>
      <c r="G63" s="29">
        <v>2615512</v>
      </c>
      <c r="H63" s="29">
        <v>1158909</v>
      </c>
      <c r="I63" s="29">
        <v>906</v>
      </c>
      <c r="J63" s="29">
        <v>1024334</v>
      </c>
      <c r="K63" s="29" t="s">
        <v>602</v>
      </c>
      <c r="L63" s="175" t="s">
        <v>582</v>
      </c>
      <c r="M63" s="29">
        <v>3714</v>
      </c>
      <c r="N63" s="29" t="s">
        <v>306</v>
      </c>
      <c r="O63" s="29">
        <v>371400</v>
      </c>
      <c r="R63" s="29" t="s">
        <v>608</v>
      </c>
      <c r="S63" s="29">
        <v>101</v>
      </c>
      <c r="T63" s="29" t="s">
        <v>603</v>
      </c>
      <c r="U63" s="29">
        <v>0</v>
      </c>
      <c r="V63" s="29" t="s">
        <v>607</v>
      </c>
      <c r="X63" s="29" t="s">
        <v>518</v>
      </c>
    </row>
    <row r="64" spans="1:24" x14ac:dyDescent="0.25">
      <c r="A64" s="29" t="s">
        <v>117</v>
      </c>
      <c r="B64" s="29">
        <v>563</v>
      </c>
      <c r="C64" s="29" t="s">
        <v>306</v>
      </c>
      <c r="D64" s="29">
        <v>191579732</v>
      </c>
      <c r="E64" s="29">
        <v>0</v>
      </c>
      <c r="F64" s="29">
        <v>1010</v>
      </c>
      <c r="G64" s="29">
        <v>2615521.8530000001</v>
      </c>
      <c r="H64" s="29">
        <v>1158896.814</v>
      </c>
      <c r="I64" s="29">
        <v>905</v>
      </c>
      <c r="J64" s="29">
        <v>1024334</v>
      </c>
      <c r="K64" s="29" t="s">
        <v>602</v>
      </c>
      <c r="L64" s="175" t="s">
        <v>582</v>
      </c>
      <c r="M64" s="29">
        <v>3714</v>
      </c>
      <c r="N64" s="29" t="s">
        <v>306</v>
      </c>
      <c r="O64" s="29">
        <v>371400</v>
      </c>
      <c r="R64" s="29" t="s">
        <v>609</v>
      </c>
      <c r="S64" s="29">
        <v>101</v>
      </c>
      <c r="T64" s="29" t="s">
        <v>603</v>
      </c>
      <c r="U64" s="29">
        <v>0</v>
      </c>
      <c r="V64" s="29" t="s">
        <v>607</v>
      </c>
      <c r="X64" s="29" t="s">
        <v>518</v>
      </c>
    </row>
    <row r="65" spans="1:24" x14ac:dyDescent="0.25">
      <c r="A65" s="29" t="s">
        <v>117</v>
      </c>
      <c r="B65" s="29">
        <v>563</v>
      </c>
      <c r="C65" s="29" t="s">
        <v>306</v>
      </c>
      <c r="D65" s="29">
        <v>190423168</v>
      </c>
      <c r="E65" s="29">
        <v>0</v>
      </c>
      <c r="F65" s="29">
        <v>1010</v>
      </c>
      <c r="G65" s="29">
        <v>2615512</v>
      </c>
      <c r="H65" s="29">
        <v>1158909</v>
      </c>
      <c r="I65" s="29">
        <v>906</v>
      </c>
      <c r="J65" s="29">
        <v>1024334</v>
      </c>
      <c r="K65" s="29" t="s">
        <v>602</v>
      </c>
      <c r="L65" s="175" t="s">
        <v>582</v>
      </c>
      <c r="M65" s="29">
        <v>3714</v>
      </c>
      <c r="N65" s="29" t="s">
        <v>306</v>
      </c>
      <c r="O65" s="29">
        <v>371400</v>
      </c>
      <c r="R65" s="29" t="s">
        <v>610</v>
      </c>
      <c r="S65" s="29">
        <v>101</v>
      </c>
      <c r="T65" s="29" t="s">
        <v>603</v>
      </c>
      <c r="U65" s="29">
        <v>0</v>
      </c>
      <c r="V65" s="29" t="s">
        <v>607</v>
      </c>
      <c r="X65" s="29" t="s">
        <v>518</v>
      </c>
    </row>
    <row r="66" spans="1:24" x14ac:dyDescent="0.25">
      <c r="A66" s="29" t="s">
        <v>117</v>
      </c>
      <c r="B66" s="29">
        <v>563</v>
      </c>
      <c r="C66" s="29" t="s">
        <v>306</v>
      </c>
      <c r="D66" s="29">
        <v>191888042</v>
      </c>
      <c r="E66" s="29">
        <v>0</v>
      </c>
      <c r="F66" s="29">
        <v>1010</v>
      </c>
      <c r="G66" s="29">
        <v>2615507</v>
      </c>
      <c r="H66" s="29">
        <v>1158895</v>
      </c>
      <c r="I66" s="29">
        <v>905</v>
      </c>
      <c r="J66" s="29">
        <v>1024334</v>
      </c>
      <c r="K66" s="29" t="s">
        <v>602</v>
      </c>
      <c r="L66" s="175" t="s">
        <v>582</v>
      </c>
      <c r="M66" s="29">
        <v>3714</v>
      </c>
      <c r="N66" s="29" t="s">
        <v>306</v>
      </c>
      <c r="O66" s="29">
        <v>371400</v>
      </c>
      <c r="R66" s="29" t="s">
        <v>611</v>
      </c>
      <c r="S66" s="29">
        <v>101</v>
      </c>
      <c r="T66" s="29" t="s">
        <v>603</v>
      </c>
      <c r="U66" s="29">
        <v>0</v>
      </c>
      <c r="V66" s="29" t="s">
        <v>607</v>
      </c>
      <c r="X66" s="29" t="s">
        <v>518</v>
      </c>
    </row>
    <row r="67" spans="1:24" x14ac:dyDescent="0.25">
      <c r="A67" s="29" t="s">
        <v>117</v>
      </c>
      <c r="B67" s="29">
        <v>563</v>
      </c>
      <c r="C67" s="29" t="s">
        <v>306</v>
      </c>
      <c r="D67" s="29">
        <v>191655074</v>
      </c>
      <c r="E67" s="29">
        <v>0</v>
      </c>
      <c r="F67" s="29">
        <v>1010</v>
      </c>
      <c r="G67" s="29">
        <v>2615521.8530000001</v>
      </c>
      <c r="H67" s="29">
        <v>1158896.814</v>
      </c>
      <c r="I67" s="29">
        <v>905</v>
      </c>
      <c r="J67" s="29">
        <v>1024334</v>
      </c>
      <c r="K67" s="29" t="s">
        <v>602</v>
      </c>
      <c r="L67" s="175" t="s">
        <v>582</v>
      </c>
      <c r="M67" s="29">
        <v>3714</v>
      </c>
      <c r="N67" s="29" t="s">
        <v>306</v>
      </c>
      <c r="O67" s="29">
        <v>371400</v>
      </c>
      <c r="R67" s="29" t="s">
        <v>612</v>
      </c>
      <c r="S67" s="29">
        <v>101</v>
      </c>
      <c r="T67" s="29" t="s">
        <v>603</v>
      </c>
      <c r="U67" s="29">
        <v>0</v>
      </c>
      <c r="V67" s="29" t="s">
        <v>607</v>
      </c>
      <c r="X67" s="29" t="s">
        <v>518</v>
      </c>
    </row>
    <row r="68" spans="1:24" x14ac:dyDescent="0.25">
      <c r="A68" s="29" t="s">
        <v>117</v>
      </c>
      <c r="B68" s="29">
        <v>563</v>
      </c>
      <c r="C68" s="29" t="s">
        <v>306</v>
      </c>
      <c r="D68" s="29">
        <v>190511889</v>
      </c>
      <c r="E68" s="29">
        <v>0</v>
      </c>
      <c r="F68" s="29">
        <v>1010</v>
      </c>
      <c r="G68" s="29">
        <v>2615512</v>
      </c>
      <c r="H68" s="29">
        <v>1158909</v>
      </c>
      <c r="I68" s="29">
        <v>905</v>
      </c>
      <c r="J68" s="29">
        <v>1024334</v>
      </c>
      <c r="K68" s="29" t="s">
        <v>602</v>
      </c>
      <c r="L68" s="175" t="s">
        <v>582</v>
      </c>
      <c r="M68" s="29">
        <v>3714</v>
      </c>
      <c r="N68" s="29" t="s">
        <v>306</v>
      </c>
      <c r="O68" s="29">
        <v>371400</v>
      </c>
      <c r="R68" s="29" t="s">
        <v>613</v>
      </c>
      <c r="S68" s="29">
        <v>101</v>
      </c>
      <c r="T68" s="29" t="s">
        <v>603</v>
      </c>
      <c r="U68" s="29">
        <v>0</v>
      </c>
      <c r="V68" s="29" t="s">
        <v>607</v>
      </c>
      <c r="X68" s="29" t="s">
        <v>518</v>
      </c>
    </row>
    <row r="69" spans="1:24" x14ac:dyDescent="0.25">
      <c r="A69" s="29" t="s">
        <v>117</v>
      </c>
      <c r="B69" s="29">
        <v>563</v>
      </c>
      <c r="C69" s="29" t="s">
        <v>306</v>
      </c>
      <c r="D69" s="29">
        <v>191342950</v>
      </c>
      <c r="E69" s="29">
        <v>0</v>
      </c>
      <c r="F69" s="29">
        <v>1010</v>
      </c>
      <c r="G69" s="29">
        <v>2615511.85</v>
      </c>
      <c r="H69" s="29">
        <v>1158908.81</v>
      </c>
      <c r="I69" s="29">
        <v>906</v>
      </c>
      <c r="J69" s="29">
        <v>1024334</v>
      </c>
      <c r="K69" s="29" t="s">
        <v>602</v>
      </c>
      <c r="L69" s="175" t="s">
        <v>582</v>
      </c>
      <c r="M69" s="29">
        <v>3714</v>
      </c>
      <c r="N69" s="29" t="s">
        <v>306</v>
      </c>
      <c r="O69" s="29">
        <v>371400</v>
      </c>
      <c r="R69" s="29" t="s">
        <v>614</v>
      </c>
      <c r="S69" s="29">
        <v>101</v>
      </c>
      <c r="T69" s="29" t="s">
        <v>603</v>
      </c>
      <c r="U69" s="29">
        <v>0</v>
      </c>
      <c r="V69" s="29" t="s">
        <v>607</v>
      </c>
      <c r="X69" s="29" t="s">
        <v>518</v>
      </c>
    </row>
    <row r="70" spans="1:24" x14ac:dyDescent="0.25">
      <c r="A70" s="29" t="s">
        <v>117</v>
      </c>
      <c r="B70" s="29">
        <v>563</v>
      </c>
      <c r="C70" s="29" t="s">
        <v>306</v>
      </c>
      <c r="D70" s="29">
        <v>190423088</v>
      </c>
      <c r="E70" s="29">
        <v>0</v>
      </c>
      <c r="F70" s="29">
        <v>1010</v>
      </c>
      <c r="G70" s="29">
        <v>2615512</v>
      </c>
      <c r="H70" s="29">
        <v>1158909</v>
      </c>
      <c r="I70" s="29">
        <v>906</v>
      </c>
      <c r="J70" s="29">
        <v>1024334</v>
      </c>
      <c r="K70" s="29" t="s">
        <v>602</v>
      </c>
      <c r="L70" s="175" t="s">
        <v>582</v>
      </c>
      <c r="M70" s="29">
        <v>3714</v>
      </c>
      <c r="N70" s="29" t="s">
        <v>306</v>
      </c>
      <c r="O70" s="29">
        <v>371400</v>
      </c>
      <c r="R70" s="29" t="s">
        <v>615</v>
      </c>
      <c r="S70" s="29">
        <v>101</v>
      </c>
      <c r="T70" s="29" t="s">
        <v>603</v>
      </c>
      <c r="U70" s="29">
        <v>0</v>
      </c>
      <c r="V70" s="29" t="s">
        <v>607</v>
      </c>
      <c r="X70" s="29" t="s">
        <v>518</v>
      </c>
    </row>
    <row r="71" spans="1:24" x14ac:dyDescent="0.25">
      <c r="A71" s="29" t="s">
        <v>117</v>
      </c>
      <c r="B71" s="29">
        <v>563</v>
      </c>
      <c r="C71" s="29" t="s">
        <v>306</v>
      </c>
      <c r="D71" s="29">
        <v>190424308</v>
      </c>
      <c r="E71" s="29">
        <v>0</v>
      </c>
      <c r="F71" s="29">
        <v>1010</v>
      </c>
      <c r="G71" s="29">
        <v>2615512</v>
      </c>
      <c r="H71" s="29">
        <v>1158909</v>
      </c>
      <c r="I71" s="29">
        <v>906</v>
      </c>
      <c r="J71" s="29">
        <v>1024334</v>
      </c>
      <c r="K71" s="29" t="s">
        <v>602</v>
      </c>
      <c r="L71" s="175" t="s">
        <v>582</v>
      </c>
      <c r="M71" s="29">
        <v>3714</v>
      </c>
      <c r="N71" s="29" t="s">
        <v>306</v>
      </c>
      <c r="O71" s="29">
        <v>371400</v>
      </c>
      <c r="R71" s="29" t="s">
        <v>616</v>
      </c>
      <c r="S71" s="29">
        <v>101</v>
      </c>
      <c r="T71" s="29" t="s">
        <v>603</v>
      </c>
      <c r="U71" s="29">
        <v>0</v>
      </c>
      <c r="V71" s="29" t="s">
        <v>607</v>
      </c>
      <c r="X71" s="29" t="s">
        <v>518</v>
      </c>
    </row>
    <row r="72" spans="1:24" x14ac:dyDescent="0.25">
      <c r="A72" s="29" t="s">
        <v>117</v>
      </c>
      <c r="B72" s="29">
        <v>563</v>
      </c>
      <c r="C72" s="29" t="s">
        <v>306</v>
      </c>
      <c r="D72" s="29">
        <v>191663732</v>
      </c>
      <c r="E72" s="29">
        <v>0</v>
      </c>
      <c r="F72" s="29">
        <v>1010</v>
      </c>
      <c r="G72" s="29">
        <v>2615521.8530000001</v>
      </c>
      <c r="H72" s="29">
        <v>1158896.814</v>
      </c>
      <c r="I72" s="29">
        <v>905</v>
      </c>
      <c r="J72" s="29">
        <v>1024334</v>
      </c>
      <c r="K72" s="29" t="s">
        <v>602</v>
      </c>
      <c r="L72" s="175" t="s">
        <v>582</v>
      </c>
      <c r="M72" s="29">
        <v>3714</v>
      </c>
      <c r="N72" s="29" t="s">
        <v>306</v>
      </c>
      <c r="O72" s="29">
        <v>371400</v>
      </c>
      <c r="R72" s="29" t="s">
        <v>617</v>
      </c>
      <c r="S72" s="29">
        <v>101</v>
      </c>
      <c r="T72" s="29" t="s">
        <v>603</v>
      </c>
      <c r="U72" s="29">
        <v>0</v>
      </c>
      <c r="V72" s="29" t="s">
        <v>607</v>
      </c>
      <c r="X72" s="29" t="s">
        <v>518</v>
      </c>
    </row>
    <row r="73" spans="1:24" x14ac:dyDescent="0.25">
      <c r="A73" s="29" t="s">
        <v>117</v>
      </c>
      <c r="B73" s="29">
        <v>563</v>
      </c>
      <c r="C73" s="29" t="s">
        <v>306</v>
      </c>
      <c r="D73" s="29">
        <v>191277553</v>
      </c>
      <c r="E73" s="29">
        <v>0</v>
      </c>
      <c r="F73" s="29">
        <v>1010</v>
      </c>
      <c r="G73" s="29">
        <v>2615511.85</v>
      </c>
      <c r="H73" s="29">
        <v>1158908.81</v>
      </c>
      <c r="I73" s="29">
        <v>906</v>
      </c>
      <c r="J73" s="29">
        <v>1024334</v>
      </c>
      <c r="K73" s="29" t="s">
        <v>602</v>
      </c>
      <c r="L73" s="175" t="s">
        <v>582</v>
      </c>
      <c r="M73" s="29">
        <v>3714</v>
      </c>
      <c r="N73" s="29" t="s">
        <v>306</v>
      </c>
      <c r="O73" s="29">
        <v>371400</v>
      </c>
      <c r="R73" s="29" t="s">
        <v>618</v>
      </c>
      <c r="S73" s="29">
        <v>101</v>
      </c>
      <c r="T73" s="29" t="s">
        <v>603</v>
      </c>
      <c r="U73" s="29">
        <v>0</v>
      </c>
      <c r="V73" s="29" t="s">
        <v>607</v>
      </c>
      <c r="X73" s="29" t="s">
        <v>518</v>
      </c>
    </row>
    <row r="74" spans="1:24" x14ac:dyDescent="0.25">
      <c r="A74" s="29" t="s">
        <v>117</v>
      </c>
      <c r="B74" s="29">
        <v>563</v>
      </c>
      <c r="C74" s="29" t="s">
        <v>306</v>
      </c>
      <c r="D74" s="29">
        <v>190639609</v>
      </c>
      <c r="E74" s="29">
        <v>0</v>
      </c>
      <c r="F74" s="29">
        <v>1010</v>
      </c>
      <c r="G74" s="29">
        <v>2615512</v>
      </c>
      <c r="H74" s="29">
        <v>1158909</v>
      </c>
      <c r="I74" s="29">
        <v>906</v>
      </c>
      <c r="J74" s="29">
        <v>1024334</v>
      </c>
      <c r="K74" s="29" t="s">
        <v>602</v>
      </c>
      <c r="L74" s="175" t="s">
        <v>582</v>
      </c>
      <c r="M74" s="29">
        <v>3714</v>
      </c>
      <c r="N74" s="29" t="s">
        <v>306</v>
      </c>
      <c r="O74" s="29">
        <v>371400</v>
      </c>
      <c r="R74" s="29" t="s">
        <v>619</v>
      </c>
      <c r="S74" s="29">
        <v>101</v>
      </c>
      <c r="T74" s="29" t="s">
        <v>603</v>
      </c>
      <c r="U74" s="29">
        <v>0</v>
      </c>
      <c r="V74" s="29" t="s">
        <v>607</v>
      </c>
      <c r="X74" s="29" t="s">
        <v>518</v>
      </c>
    </row>
    <row r="75" spans="1:24" x14ac:dyDescent="0.25">
      <c r="A75" s="29" t="s">
        <v>117</v>
      </c>
      <c r="B75" s="29">
        <v>563</v>
      </c>
      <c r="C75" s="29" t="s">
        <v>306</v>
      </c>
      <c r="D75" s="29">
        <v>190423192</v>
      </c>
      <c r="E75" s="29">
        <v>0</v>
      </c>
      <c r="F75" s="29">
        <v>1010</v>
      </c>
      <c r="G75" s="29">
        <v>2615512</v>
      </c>
      <c r="H75" s="29">
        <v>1158909</v>
      </c>
      <c r="I75" s="29">
        <v>906</v>
      </c>
      <c r="J75" s="29">
        <v>1024334</v>
      </c>
      <c r="K75" s="29" t="s">
        <v>602</v>
      </c>
      <c r="L75" s="175" t="s">
        <v>582</v>
      </c>
      <c r="M75" s="29">
        <v>3714</v>
      </c>
      <c r="N75" s="29" t="s">
        <v>306</v>
      </c>
      <c r="O75" s="29">
        <v>371400</v>
      </c>
      <c r="R75" s="29" t="s">
        <v>620</v>
      </c>
      <c r="S75" s="29">
        <v>101</v>
      </c>
      <c r="T75" s="29" t="s">
        <v>603</v>
      </c>
      <c r="U75" s="29">
        <v>0</v>
      </c>
      <c r="V75" s="29" t="s">
        <v>607</v>
      </c>
      <c r="X75" s="29" t="s">
        <v>518</v>
      </c>
    </row>
    <row r="76" spans="1:24" x14ac:dyDescent="0.25">
      <c r="A76" s="29" t="s">
        <v>117</v>
      </c>
      <c r="B76" s="29">
        <v>571</v>
      </c>
      <c r="C76" s="29" t="s">
        <v>311</v>
      </c>
      <c r="D76" s="29">
        <v>192040789</v>
      </c>
      <c r="E76" s="29">
        <v>0</v>
      </c>
      <c r="F76" s="29">
        <v>1080</v>
      </c>
      <c r="G76" s="29">
        <v>2627720.6519999998</v>
      </c>
      <c r="H76" s="29">
        <v>1172213.977</v>
      </c>
      <c r="I76" s="29">
        <v>904</v>
      </c>
      <c r="J76" s="29">
        <v>2453287</v>
      </c>
      <c r="K76" s="29" t="s">
        <v>2747</v>
      </c>
      <c r="M76" s="29">
        <v>3803</v>
      </c>
      <c r="N76" s="29" t="s">
        <v>311</v>
      </c>
      <c r="O76" s="29">
        <v>380300</v>
      </c>
      <c r="R76" s="29" t="s">
        <v>2748</v>
      </c>
      <c r="S76" s="29">
        <v>101</v>
      </c>
      <c r="T76" s="29" t="s">
        <v>2749</v>
      </c>
      <c r="U76" s="29">
        <v>0</v>
      </c>
      <c r="V76" s="29" t="s">
        <v>2750</v>
      </c>
      <c r="X76" s="29" t="s">
        <v>518</v>
      </c>
    </row>
    <row r="77" spans="1:24" x14ac:dyDescent="0.25">
      <c r="A77" s="29" t="s">
        <v>117</v>
      </c>
      <c r="B77" s="29">
        <v>571</v>
      </c>
      <c r="C77" s="29" t="s">
        <v>311</v>
      </c>
      <c r="D77" s="29">
        <v>192040788</v>
      </c>
      <c r="E77" s="29">
        <v>0</v>
      </c>
      <c r="F77" s="29">
        <v>1080</v>
      </c>
      <c r="G77" s="29">
        <v>2627724.9699999997</v>
      </c>
      <c r="H77" s="29">
        <v>1172225.7949999999</v>
      </c>
      <c r="I77" s="29">
        <v>904</v>
      </c>
      <c r="J77" s="29">
        <v>2453287</v>
      </c>
      <c r="K77" s="29" t="s">
        <v>2747</v>
      </c>
      <c r="M77" s="29">
        <v>3803</v>
      </c>
      <c r="N77" s="29" t="s">
        <v>311</v>
      </c>
      <c r="O77" s="29">
        <v>380300</v>
      </c>
      <c r="R77" s="29" t="s">
        <v>2748</v>
      </c>
      <c r="S77" s="29">
        <v>101</v>
      </c>
      <c r="T77" s="29" t="s">
        <v>2749</v>
      </c>
      <c r="U77" s="29">
        <v>0</v>
      </c>
      <c r="V77" s="29" t="s">
        <v>2750</v>
      </c>
      <c r="X77" s="29" t="s">
        <v>518</v>
      </c>
    </row>
    <row r="78" spans="1:24" x14ac:dyDescent="0.25">
      <c r="A78" s="29" t="s">
        <v>117</v>
      </c>
      <c r="B78" s="29">
        <v>627</v>
      </c>
      <c r="C78" s="29" t="s">
        <v>354</v>
      </c>
      <c r="D78" s="29">
        <v>1363291</v>
      </c>
      <c r="E78" s="29">
        <v>1</v>
      </c>
      <c r="F78" s="29">
        <v>1030</v>
      </c>
      <c r="G78" s="29">
        <v>2609288.0419999999</v>
      </c>
      <c r="H78" s="29">
        <v>1197460.5759999999</v>
      </c>
      <c r="I78" s="29">
        <v>901</v>
      </c>
      <c r="J78" s="29">
        <v>1028170</v>
      </c>
      <c r="K78" s="29" t="s">
        <v>572</v>
      </c>
      <c r="L78" s="175" t="s">
        <v>2225</v>
      </c>
      <c r="M78" s="29">
        <v>3076</v>
      </c>
      <c r="N78" s="29" t="s">
        <v>354</v>
      </c>
      <c r="O78" s="29">
        <v>307600</v>
      </c>
      <c r="P78" s="29">
        <v>2609288.0419999999</v>
      </c>
      <c r="Q78" s="29">
        <v>1197460.5759999999</v>
      </c>
      <c r="S78" s="29">
        <v>150</v>
      </c>
      <c r="T78" s="29" t="s">
        <v>2226</v>
      </c>
      <c r="U78" s="29">
        <v>0</v>
      </c>
      <c r="V78" s="29" t="s">
        <v>607</v>
      </c>
      <c r="X78" s="29" t="s">
        <v>518</v>
      </c>
    </row>
    <row r="79" spans="1:24" x14ac:dyDescent="0.25">
      <c r="A79" s="29" t="s">
        <v>117</v>
      </c>
      <c r="B79" s="29">
        <v>627</v>
      </c>
      <c r="C79" s="29" t="s">
        <v>354</v>
      </c>
      <c r="D79" s="29">
        <v>192026356</v>
      </c>
      <c r="E79" s="29">
        <v>0</v>
      </c>
      <c r="F79" s="29">
        <v>1030</v>
      </c>
      <c r="G79" s="29">
        <v>2609321.9019999998</v>
      </c>
      <c r="H79" s="29">
        <v>1197460.1129999999</v>
      </c>
      <c r="I79" s="29">
        <v>904</v>
      </c>
      <c r="J79" s="29">
        <v>1028170</v>
      </c>
      <c r="K79" s="29" t="s">
        <v>572</v>
      </c>
      <c r="L79" s="175" t="s">
        <v>2225</v>
      </c>
      <c r="M79" s="29">
        <v>3076</v>
      </c>
      <c r="N79" s="29" t="s">
        <v>354</v>
      </c>
      <c r="O79" s="29">
        <v>307600</v>
      </c>
      <c r="S79" s="29">
        <v>150</v>
      </c>
      <c r="T79" s="29" t="s">
        <v>2227</v>
      </c>
      <c r="U79" s="29">
        <v>0</v>
      </c>
      <c r="V79" s="29" t="s">
        <v>2228</v>
      </c>
      <c r="X79" s="29" t="s">
        <v>518</v>
      </c>
    </row>
    <row r="80" spans="1:24" x14ac:dyDescent="0.25">
      <c r="A80" s="29" t="s">
        <v>117</v>
      </c>
      <c r="B80" s="29">
        <v>627</v>
      </c>
      <c r="C80" s="29" t="s">
        <v>354</v>
      </c>
      <c r="D80" s="29">
        <v>192026171</v>
      </c>
      <c r="E80" s="29">
        <v>0</v>
      </c>
      <c r="F80" s="29">
        <v>1060</v>
      </c>
      <c r="G80" s="29">
        <v>2608756.3119999999</v>
      </c>
      <c r="H80" s="29">
        <v>1199085.1129999999</v>
      </c>
      <c r="I80" s="29">
        <v>904</v>
      </c>
      <c r="J80" s="29">
        <v>1028176</v>
      </c>
      <c r="K80" s="29" t="s">
        <v>2229</v>
      </c>
      <c r="L80" s="175" t="s">
        <v>2230</v>
      </c>
      <c r="M80" s="29">
        <v>3076</v>
      </c>
      <c r="N80" s="29" t="s">
        <v>354</v>
      </c>
      <c r="O80" s="29">
        <v>307600</v>
      </c>
      <c r="R80" s="29" t="s">
        <v>2231</v>
      </c>
      <c r="S80" s="29">
        <v>150</v>
      </c>
      <c r="T80" s="29" t="s">
        <v>2232</v>
      </c>
      <c r="U80" s="29">
        <v>0</v>
      </c>
      <c r="V80" s="29" t="s">
        <v>2233</v>
      </c>
      <c r="X80" s="29" t="s">
        <v>518</v>
      </c>
    </row>
    <row r="81" spans="1:24" x14ac:dyDescent="0.25">
      <c r="A81" s="29" t="s">
        <v>117</v>
      </c>
      <c r="B81" s="29">
        <v>627</v>
      </c>
      <c r="C81" s="29" t="s">
        <v>354</v>
      </c>
      <c r="D81" s="29">
        <v>1363244</v>
      </c>
      <c r="E81" s="29">
        <v>1</v>
      </c>
      <c r="F81" s="29">
        <v>1025</v>
      </c>
      <c r="G81" s="29">
        <v>2608751.6260000002</v>
      </c>
      <c r="H81" s="29">
        <v>1199099.943</v>
      </c>
      <c r="I81" s="29">
        <v>905</v>
      </c>
      <c r="J81" s="29">
        <v>1028176</v>
      </c>
      <c r="K81" s="29" t="s">
        <v>2229</v>
      </c>
      <c r="L81" s="175" t="s">
        <v>2230</v>
      </c>
      <c r="M81" s="29">
        <v>3076</v>
      </c>
      <c r="N81" s="29" t="s">
        <v>354</v>
      </c>
      <c r="O81" s="29">
        <v>307600</v>
      </c>
      <c r="P81" s="29">
        <v>2608751.6209999998</v>
      </c>
      <c r="Q81" s="29">
        <v>1199099.936</v>
      </c>
      <c r="S81" s="29">
        <v>150</v>
      </c>
      <c r="T81" s="29" t="s">
        <v>2232</v>
      </c>
      <c r="U81" s="29">
        <v>0</v>
      </c>
      <c r="V81" s="29" t="s">
        <v>2233</v>
      </c>
      <c r="X81" s="29" t="s">
        <v>518</v>
      </c>
    </row>
    <row r="82" spans="1:24" x14ac:dyDescent="0.25">
      <c r="A82" s="29" t="s">
        <v>117</v>
      </c>
      <c r="B82" s="29">
        <v>627</v>
      </c>
      <c r="C82" s="29" t="s">
        <v>354</v>
      </c>
      <c r="D82" s="29">
        <v>192026184</v>
      </c>
      <c r="E82" s="29">
        <v>0</v>
      </c>
      <c r="F82" s="29">
        <v>1060</v>
      </c>
      <c r="G82" s="29">
        <v>2609618.5839999998</v>
      </c>
      <c r="H82" s="29">
        <v>1197775.7949999999</v>
      </c>
      <c r="I82" s="29">
        <v>904</v>
      </c>
      <c r="J82" s="29">
        <v>1028192</v>
      </c>
      <c r="K82" s="29" t="s">
        <v>2234</v>
      </c>
      <c r="L82" s="175" t="s">
        <v>2235</v>
      </c>
      <c r="M82" s="29">
        <v>3076</v>
      </c>
      <c r="N82" s="29" t="s">
        <v>354</v>
      </c>
      <c r="O82" s="29">
        <v>307600</v>
      </c>
      <c r="R82" s="29" t="s">
        <v>536</v>
      </c>
      <c r="S82" s="29">
        <v>150</v>
      </c>
      <c r="T82" s="29" t="s">
        <v>2236</v>
      </c>
      <c r="U82" s="29">
        <v>0</v>
      </c>
      <c r="V82" s="29" t="s">
        <v>2237</v>
      </c>
      <c r="X82" s="29" t="s">
        <v>518</v>
      </c>
    </row>
    <row r="83" spans="1:24" x14ac:dyDescent="0.25">
      <c r="A83" s="29" t="s">
        <v>117</v>
      </c>
      <c r="B83" s="29">
        <v>627</v>
      </c>
      <c r="C83" s="29" t="s">
        <v>354</v>
      </c>
      <c r="D83" s="29">
        <v>1362658</v>
      </c>
      <c r="E83" s="29">
        <v>1</v>
      </c>
      <c r="F83" s="29">
        <v>1025</v>
      </c>
      <c r="G83" s="29">
        <v>2609628.8139999998</v>
      </c>
      <c r="H83" s="29">
        <v>1197772.247</v>
      </c>
      <c r="I83" s="29">
        <v>905</v>
      </c>
      <c r="J83" s="29">
        <v>1028192</v>
      </c>
      <c r="K83" s="29" t="s">
        <v>2234</v>
      </c>
      <c r="L83" s="175" t="s">
        <v>2235</v>
      </c>
      <c r="M83" s="29">
        <v>3076</v>
      </c>
      <c r="N83" s="29" t="s">
        <v>354</v>
      </c>
      <c r="O83" s="29">
        <v>307600</v>
      </c>
      <c r="P83" s="29">
        <v>2609628.8190000001</v>
      </c>
      <c r="Q83" s="29">
        <v>1197772.2479999999</v>
      </c>
      <c r="S83" s="29">
        <v>150</v>
      </c>
      <c r="T83" s="29" t="s">
        <v>2236</v>
      </c>
      <c r="U83" s="29">
        <v>0</v>
      </c>
      <c r="V83" s="29" t="s">
        <v>2237</v>
      </c>
      <c r="X83" s="29" t="s">
        <v>518</v>
      </c>
    </row>
    <row r="84" spans="1:24" x14ac:dyDescent="0.25">
      <c r="A84" s="29" t="s">
        <v>117</v>
      </c>
      <c r="B84" s="29">
        <v>627</v>
      </c>
      <c r="C84" s="29" t="s">
        <v>354</v>
      </c>
      <c r="D84" s="29">
        <v>192026345</v>
      </c>
      <c r="E84" s="29">
        <v>0</v>
      </c>
      <c r="F84" s="29">
        <v>1040</v>
      </c>
      <c r="G84" s="29">
        <v>2609626.9019999998</v>
      </c>
      <c r="H84" s="29">
        <v>1197780.7949999999</v>
      </c>
      <c r="I84" s="29">
        <v>904</v>
      </c>
      <c r="J84" s="29">
        <v>1028192</v>
      </c>
      <c r="K84" s="29" t="s">
        <v>2234</v>
      </c>
      <c r="L84" s="175" t="s">
        <v>1838</v>
      </c>
      <c r="M84" s="29">
        <v>3076</v>
      </c>
      <c r="N84" s="29" t="s">
        <v>354</v>
      </c>
      <c r="O84" s="29">
        <v>307600</v>
      </c>
      <c r="S84" s="29">
        <v>115</v>
      </c>
      <c r="T84" s="29" t="s">
        <v>2236</v>
      </c>
      <c r="U84" s="29">
        <v>0</v>
      </c>
      <c r="V84" s="29" t="s">
        <v>2237</v>
      </c>
      <c r="X84" s="29" t="s">
        <v>518</v>
      </c>
    </row>
    <row r="85" spans="1:24" x14ac:dyDescent="0.25">
      <c r="A85" s="29" t="s">
        <v>117</v>
      </c>
      <c r="B85" s="29">
        <v>627</v>
      </c>
      <c r="C85" s="29" t="s">
        <v>354</v>
      </c>
      <c r="D85" s="29">
        <v>1362658</v>
      </c>
      <c r="E85" s="29">
        <v>2</v>
      </c>
      <c r="F85" s="29">
        <v>1025</v>
      </c>
      <c r="G85" s="29">
        <v>2609628.8139999998</v>
      </c>
      <c r="H85" s="29">
        <v>1197772.247</v>
      </c>
      <c r="I85" s="29">
        <v>905</v>
      </c>
      <c r="J85" s="29">
        <v>1028192</v>
      </c>
      <c r="K85" s="29" t="s">
        <v>2234</v>
      </c>
      <c r="L85" s="175" t="s">
        <v>1838</v>
      </c>
      <c r="M85" s="29">
        <v>3076</v>
      </c>
      <c r="N85" s="29" t="s">
        <v>354</v>
      </c>
      <c r="O85" s="29">
        <v>307600</v>
      </c>
      <c r="P85" s="29">
        <v>2609628.8190000001</v>
      </c>
      <c r="Q85" s="29">
        <v>1197772.2479999999</v>
      </c>
      <c r="S85" s="29">
        <v>150</v>
      </c>
      <c r="T85" s="29" t="s">
        <v>2236</v>
      </c>
      <c r="U85" s="29">
        <v>0</v>
      </c>
      <c r="V85" s="29" t="s">
        <v>2237</v>
      </c>
      <c r="X85" s="29" t="s">
        <v>552</v>
      </c>
    </row>
    <row r="86" spans="1:24" x14ac:dyDescent="0.25">
      <c r="A86" s="29" t="s">
        <v>117</v>
      </c>
      <c r="B86" s="29">
        <v>667</v>
      </c>
      <c r="C86" s="29" t="s">
        <v>363</v>
      </c>
      <c r="D86" s="29">
        <v>192007227</v>
      </c>
      <c r="E86" s="29">
        <v>0</v>
      </c>
      <c r="F86" s="29">
        <v>1060</v>
      </c>
      <c r="G86" s="29">
        <v>2584891</v>
      </c>
      <c r="H86" s="29">
        <v>1196203.25</v>
      </c>
      <c r="I86" s="29">
        <v>904</v>
      </c>
      <c r="J86" s="29">
        <v>1028594</v>
      </c>
      <c r="K86" s="29" t="s">
        <v>1790</v>
      </c>
      <c r="L86" s="175" t="s">
        <v>1791</v>
      </c>
      <c r="M86" s="29">
        <v>3177</v>
      </c>
      <c r="N86" s="29" t="s">
        <v>1792</v>
      </c>
      <c r="O86" s="29">
        <v>317700</v>
      </c>
      <c r="S86" s="29">
        <v>115</v>
      </c>
      <c r="T86" s="29" t="s">
        <v>1793</v>
      </c>
      <c r="U86" s="29">
        <v>0</v>
      </c>
      <c r="V86" s="29" t="s">
        <v>1794</v>
      </c>
      <c r="X86" s="29" t="s">
        <v>518</v>
      </c>
    </row>
    <row r="87" spans="1:24" x14ac:dyDescent="0.25">
      <c r="A87" s="29" t="s">
        <v>117</v>
      </c>
      <c r="B87" s="29">
        <v>667</v>
      </c>
      <c r="C87" s="29" t="s">
        <v>363</v>
      </c>
      <c r="D87" s="29">
        <v>1371348</v>
      </c>
      <c r="E87" s="29">
        <v>0</v>
      </c>
      <c r="F87" s="29">
        <v>1060</v>
      </c>
      <c r="G87" s="29">
        <v>2584898.648</v>
      </c>
      <c r="H87" s="29">
        <v>1196278.6359999999</v>
      </c>
      <c r="I87" s="29">
        <v>901</v>
      </c>
      <c r="J87" s="29">
        <v>1028594</v>
      </c>
      <c r="K87" s="29" t="s">
        <v>1790</v>
      </c>
      <c r="L87" s="175" t="s">
        <v>1791</v>
      </c>
      <c r="M87" s="29">
        <v>3177</v>
      </c>
      <c r="N87" s="29" t="s">
        <v>1792</v>
      </c>
      <c r="O87" s="29">
        <v>317700</v>
      </c>
      <c r="P87" s="29">
        <v>2584891.7420000001</v>
      </c>
      <c r="Q87" s="29">
        <v>1196278.0789999999</v>
      </c>
      <c r="S87" s="29">
        <v>150</v>
      </c>
      <c r="T87" s="29" t="s">
        <v>1793</v>
      </c>
      <c r="U87" s="29">
        <v>0</v>
      </c>
      <c r="V87" s="29" t="s">
        <v>1794</v>
      </c>
      <c r="X87" s="29" t="s">
        <v>552</v>
      </c>
    </row>
    <row r="88" spans="1:24" x14ac:dyDescent="0.25">
      <c r="A88" s="29" t="s">
        <v>117</v>
      </c>
      <c r="B88" s="29">
        <v>709</v>
      </c>
      <c r="C88" s="29" t="s">
        <v>383</v>
      </c>
      <c r="D88" s="29">
        <v>192008995</v>
      </c>
      <c r="E88" s="29">
        <v>0</v>
      </c>
      <c r="F88" s="29">
        <v>1010</v>
      </c>
      <c r="G88" s="29">
        <v>2605130</v>
      </c>
      <c r="H88" s="29">
        <v>1238557.4990000001</v>
      </c>
      <c r="I88" s="29">
        <v>904</v>
      </c>
      <c r="J88" s="29">
        <v>1029541</v>
      </c>
      <c r="K88" s="29" t="s">
        <v>1688</v>
      </c>
      <c r="L88" s="175" t="s">
        <v>624</v>
      </c>
      <c r="M88" s="29">
        <v>2747</v>
      </c>
      <c r="N88" s="29" t="s">
        <v>383</v>
      </c>
      <c r="O88" s="29">
        <v>274702</v>
      </c>
      <c r="R88" s="29" t="s">
        <v>1689</v>
      </c>
      <c r="S88" s="29">
        <v>101</v>
      </c>
      <c r="T88" s="29" t="s">
        <v>1690</v>
      </c>
      <c r="U88" s="29">
        <v>0</v>
      </c>
      <c r="V88" s="29" t="s">
        <v>1644</v>
      </c>
      <c r="X88" s="29" t="s">
        <v>518</v>
      </c>
    </row>
    <row r="89" spans="1:24" x14ac:dyDescent="0.25">
      <c r="A89" s="29" t="s">
        <v>117</v>
      </c>
      <c r="B89" s="29">
        <v>709</v>
      </c>
      <c r="C89" s="29" t="s">
        <v>383</v>
      </c>
      <c r="D89" s="29">
        <v>502072676</v>
      </c>
      <c r="E89" s="29">
        <v>0</v>
      </c>
      <c r="F89" s="29">
        <v>1060</v>
      </c>
      <c r="G89" s="29">
        <v>2605088.91</v>
      </c>
      <c r="H89" s="29">
        <v>1238565.838</v>
      </c>
      <c r="I89" s="29">
        <v>901</v>
      </c>
      <c r="J89" s="29">
        <v>1029541</v>
      </c>
      <c r="K89" s="29" t="s">
        <v>1688</v>
      </c>
      <c r="L89" s="175" t="s">
        <v>624</v>
      </c>
      <c r="M89" s="29">
        <v>2747</v>
      </c>
      <c r="N89" s="29" t="s">
        <v>383</v>
      </c>
      <c r="O89" s="29">
        <v>274702</v>
      </c>
      <c r="P89" s="29">
        <v>2605093.6170000001</v>
      </c>
      <c r="Q89" s="29">
        <v>1238555.4240000001</v>
      </c>
      <c r="S89" s="29">
        <v>115</v>
      </c>
      <c r="T89" s="29" t="s">
        <v>1690</v>
      </c>
      <c r="U89" s="29">
        <v>0</v>
      </c>
      <c r="V89" s="29" t="s">
        <v>1644</v>
      </c>
      <c r="X89" s="29" t="s">
        <v>518</v>
      </c>
    </row>
    <row r="90" spans="1:24" x14ac:dyDescent="0.25">
      <c r="A90" s="29" t="s">
        <v>117</v>
      </c>
      <c r="B90" s="29">
        <v>731</v>
      </c>
      <c r="C90" s="29" t="s">
        <v>392</v>
      </c>
      <c r="D90" s="29">
        <v>192048694</v>
      </c>
      <c r="E90" s="29">
        <v>0</v>
      </c>
      <c r="F90" s="29">
        <v>1080</v>
      </c>
      <c r="G90" s="29">
        <v>2588064.5</v>
      </c>
      <c r="H90" s="29">
        <v>1218453.75</v>
      </c>
      <c r="I90" s="29">
        <v>904</v>
      </c>
      <c r="J90" s="29">
        <v>1029903</v>
      </c>
      <c r="K90" s="29" t="s">
        <v>3263</v>
      </c>
      <c r="M90" s="29">
        <v>2558</v>
      </c>
      <c r="N90" s="29" t="s">
        <v>392</v>
      </c>
      <c r="O90" s="29">
        <v>255800</v>
      </c>
      <c r="R90" s="29" t="s">
        <v>3264</v>
      </c>
      <c r="S90" s="29">
        <v>101</v>
      </c>
      <c r="T90" s="29" t="s">
        <v>3265</v>
      </c>
      <c r="U90" s="29">
        <v>0</v>
      </c>
      <c r="V90" s="29" t="s">
        <v>3266</v>
      </c>
      <c r="X90" s="29" t="s">
        <v>518</v>
      </c>
    </row>
    <row r="91" spans="1:24" x14ac:dyDescent="0.25">
      <c r="A91" s="29" t="s">
        <v>117</v>
      </c>
      <c r="B91" s="29">
        <v>731</v>
      </c>
      <c r="C91" s="29" t="s">
        <v>392</v>
      </c>
      <c r="D91" s="29">
        <v>192048696</v>
      </c>
      <c r="E91" s="29">
        <v>0</v>
      </c>
      <c r="F91" s="29">
        <v>1080</v>
      </c>
      <c r="G91" s="29">
        <v>2588064.5</v>
      </c>
      <c r="H91" s="29">
        <v>1218451.75</v>
      </c>
      <c r="I91" s="29">
        <v>904</v>
      </c>
      <c r="J91" s="29">
        <v>1029903</v>
      </c>
      <c r="K91" s="29" t="s">
        <v>3263</v>
      </c>
      <c r="M91" s="29">
        <v>2558</v>
      </c>
      <c r="N91" s="29" t="s">
        <v>392</v>
      </c>
      <c r="O91" s="29">
        <v>255800</v>
      </c>
      <c r="R91" s="29" t="s">
        <v>3264</v>
      </c>
      <c r="S91" s="29">
        <v>101</v>
      </c>
      <c r="T91" s="29" t="s">
        <v>3265</v>
      </c>
      <c r="U91" s="29">
        <v>0</v>
      </c>
      <c r="V91" s="29" t="s">
        <v>3266</v>
      </c>
      <c r="X91" s="29" t="s">
        <v>518</v>
      </c>
    </row>
    <row r="92" spans="1:24" x14ac:dyDescent="0.25">
      <c r="A92" s="29" t="s">
        <v>117</v>
      </c>
      <c r="B92" s="29">
        <v>733</v>
      </c>
      <c r="C92" s="29" t="s">
        <v>394</v>
      </c>
      <c r="D92" s="29">
        <v>504032529</v>
      </c>
      <c r="E92" s="29">
        <v>0</v>
      </c>
      <c r="F92" s="29">
        <v>1060</v>
      </c>
      <c r="G92" s="29">
        <v>2588275.0750000002</v>
      </c>
      <c r="H92" s="29">
        <v>1220973.3970000001</v>
      </c>
      <c r="I92" s="29">
        <v>901</v>
      </c>
      <c r="J92" s="29">
        <v>1029972</v>
      </c>
      <c r="K92" s="29" t="s">
        <v>577</v>
      </c>
      <c r="L92" s="175" t="s">
        <v>551</v>
      </c>
      <c r="M92" s="29">
        <v>2504</v>
      </c>
      <c r="N92" s="29" t="s">
        <v>226</v>
      </c>
      <c r="O92" s="29">
        <v>250400</v>
      </c>
      <c r="S92" s="29">
        <v>101</v>
      </c>
      <c r="T92" s="29" t="s">
        <v>622</v>
      </c>
      <c r="U92" s="29">
        <v>0</v>
      </c>
      <c r="V92" s="29" t="s">
        <v>623</v>
      </c>
      <c r="X92" s="29" t="s">
        <v>518</v>
      </c>
    </row>
    <row r="93" spans="1:24" x14ac:dyDescent="0.25">
      <c r="A93" s="29" t="s">
        <v>117</v>
      </c>
      <c r="B93" s="29">
        <v>733</v>
      </c>
      <c r="C93" s="29" t="s">
        <v>394</v>
      </c>
      <c r="D93" s="29">
        <v>504032528</v>
      </c>
      <c r="E93" s="29">
        <v>0</v>
      </c>
      <c r="F93" s="29">
        <v>1060</v>
      </c>
      <c r="G93" s="29">
        <v>2588254.5219999999</v>
      </c>
      <c r="H93" s="29">
        <v>1220961.655</v>
      </c>
      <c r="I93" s="29">
        <v>901</v>
      </c>
      <c r="J93" s="29">
        <v>1029972</v>
      </c>
      <c r="K93" s="29" t="s">
        <v>577</v>
      </c>
      <c r="L93" s="175" t="s">
        <v>541</v>
      </c>
      <c r="M93" s="29">
        <v>2504</v>
      </c>
      <c r="N93" s="29" t="s">
        <v>226</v>
      </c>
      <c r="O93" s="29">
        <v>250400</v>
      </c>
      <c r="S93" s="29">
        <v>101</v>
      </c>
      <c r="T93" s="29" t="s">
        <v>622</v>
      </c>
      <c r="U93" s="29">
        <v>0</v>
      </c>
      <c r="V93" s="29" t="s">
        <v>623</v>
      </c>
      <c r="X93" s="29" t="s">
        <v>518</v>
      </c>
    </row>
    <row r="94" spans="1:24" x14ac:dyDescent="0.25">
      <c r="A94" s="29" t="s">
        <v>117</v>
      </c>
      <c r="B94" s="29">
        <v>755</v>
      </c>
      <c r="C94" s="29" t="s">
        <v>414</v>
      </c>
      <c r="D94" s="29">
        <v>1390674</v>
      </c>
      <c r="E94" s="29">
        <v>0</v>
      </c>
      <c r="F94" s="29">
        <v>1030</v>
      </c>
      <c r="G94" s="29">
        <v>2588664.3480000002</v>
      </c>
      <c r="H94" s="29">
        <v>1216226.3389999999</v>
      </c>
      <c r="I94" s="29">
        <v>901</v>
      </c>
      <c r="J94" s="29">
        <v>1030749</v>
      </c>
      <c r="K94" s="29" t="s">
        <v>520</v>
      </c>
      <c r="L94" s="175" t="s">
        <v>553</v>
      </c>
      <c r="M94" s="29">
        <v>3252</v>
      </c>
      <c r="N94" s="29" t="s">
        <v>414</v>
      </c>
      <c r="O94" s="29">
        <v>325200</v>
      </c>
      <c r="P94" s="29">
        <v>2588669.23</v>
      </c>
      <c r="Q94" s="29">
        <v>1216226.398</v>
      </c>
      <c r="S94" s="29">
        <v>101</v>
      </c>
      <c r="T94" s="29" t="s">
        <v>625</v>
      </c>
      <c r="U94" s="29">
        <v>0</v>
      </c>
      <c r="V94" s="29" t="s">
        <v>626</v>
      </c>
      <c r="X94" s="29" t="s">
        <v>552</v>
      </c>
    </row>
    <row r="95" spans="1:24" x14ac:dyDescent="0.25">
      <c r="A95" s="29" t="s">
        <v>117</v>
      </c>
      <c r="B95" s="29">
        <v>755</v>
      </c>
      <c r="C95" s="29" t="s">
        <v>414</v>
      </c>
      <c r="D95" s="29">
        <v>504017631</v>
      </c>
      <c r="E95" s="29">
        <v>0</v>
      </c>
      <c r="F95" s="29">
        <v>1060</v>
      </c>
      <c r="G95" s="29">
        <v>2588634.8360000001</v>
      </c>
      <c r="H95" s="29">
        <v>1216211.2790000001</v>
      </c>
      <c r="I95" s="29">
        <v>901</v>
      </c>
      <c r="J95" s="29">
        <v>1030749</v>
      </c>
      <c r="K95" s="29" t="s">
        <v>520</v>
      </c>
      <c r="L95" s="175" t="s">
        <v>540</v>
      </c>
      <c r="M95" s="29">
        <v>3252</v>
      </c>
      <c r="N95" s="29" t="s">
        <v>414</v>
      </c>
      <c r="O95" s="29">
        <v>325200</v>
      </c>
      <c r="S95" s="29">
        <v>101</v>
      </c>
      <c r="T95" s="29" t="s">
        <v>627</v>
      </c>
      <c r="U95" s="29">
        <v>0</v>
      </c>
      <c r="V95" s="29" t="s">
        <v>628</v>
      </c>
      <c r="X95" s="29" t="s">
        <v>518</v>
      </c>
    </row>
    <row r="96" spans="1:24" x14ac:dyDescent="0.25">
      <c r="A96" s="29" t="s">
        <v>117</v>
      </c>
      <c r="B96" s="29">
        <v>762</v>
      </c>
      <c r="C96" s="29" t="s">
        <v>417</v>
      </c>
      <c r="D96" s="29">
        <v>191971317</v>
      </c>
      <c r="E96" s="29">
        <v>0</v>
      </c>
      <c r="F96" s="29">
        <v>1025</v>
      </c>
      <c r="G96" s="29">
        <v>2610580.1749999998</v>
      </c>
      <c r="H96" s="29">
        <v>1167378.81</v>
      </c>
      <c r="I96" s="29">
        <v>901</v>
      </c>
      <c r="J96" s="29">
        <v>2241833</v>
      </c>
      <c r="K96" s="29" t="s">
        <v>3267</v>
      </c>
      <c r="L96" s="175" t="s">
        <v>3268</v>
      </c>
      <c r="M96" s="29">
        <v>3753</v>
      </c>
      <c r="N96" s="29" t="s">
        <v>3269</v>
      </c>
      <c r="O96" s="29">
        <v>375300</v>
      </c>
      <c r="P96" s="29">
        <v>2610578.9539999999</v>
      </c>
      <c r="Q96" s="29">
        <v>1167384.344</v>
      </c>
      <c r="S96" s="29">
        <v>115</v>
      </c>
      <c r="T96" s="29" t="s">
        <v>3270</v>
      </c>
      <c r="U96" s="29">
        <v>0</v>
      </c>
      <c r="V96" s="29" t="s">
        <v>3606</v>
      </c>
      <c r="X96" s="29" t="s">
        <v>552</v>
      </c>
    </row>
    <row r="97" spans="1:24" x14ac:dyDescent="0.25">
      <c r="A97" s="29" t="s">
        <v>117</v>
      </c>
      <c r="B97" s="29">
        <v>762</v>
      </c>
      <c r="C97" s="29" t="s">
        <v>417</v>
      </c>
      <c r="D97" s="29">
        <v>191447150</v>
      </c>
      <c r="E97" s="29">
        <v>0</v>
      </c>
      <c r="F97" s="29">
        <v>1060</v>
      </c>
      <c r="G97" s="29">
        <v>2610573.23</v>
      </c>
      <c r="H97" s="29">
        <v>1167380.7860000001</v>
      </c>
      <c r="I97" s="29">
        <v>901</v>
      </c>
      <c r="J97" s="29">
        <v>2241833</v>
      </c>
      <c r="K97" s="29" t="s">
        <v>3267</v>
      </c>
      <c r="L97" s="175" t="s">
        <v>3268</v>
      </c>
      <c r="M97" s="29">
        <v>3753</v>
      </c>
      <c r="N97" s="29" t="s">
        <v>3269</v>
      </c>
      <c r="O97" s="29">
        <v>375300</v>
      </c>
      <c r="P97" s="29">
        <v>2610577.71</v>
      </c>
      <c r="Q97" s="29">
        <v>1167382.202</v>
      </c>
      <c r="S97" s="29">
        <v>115</v>
      </c>
      <c r="T97" s="29" t="s">
        <v>3270</v>
      </c>
      <c r="U97" s="29">
        <v>0</v>
      </c>
      <c r="V97" s="29" t="s">
        <v>3271</v>
      </c>
      <c r="X97" s="29" t="s">
        <v>518</v>
      </c>
    </row>
    <row r="98" spans="1:24" x14ac:dyDescent="0.25">
      <c r="A98" s="29" t="s">
        <v>117</v>
      </c>
      <c r="B98" s="29">
        <v>762</v>
      </c>
      <c r="C98" s="29" t="s">
        <v>417</v>
      </c>
      <c r="D98" s="29">
        <v>191953821</v>
      </c>
      <c r="E98" s="29">
        <v>0</v>
      </c>
      <c r="F98" s="29">
        <v>1080</v>
      </c>
      <c r="G98" s="29">
        <v>2609434</v>
      </c>
      <c r="H98" s="29">
        <v>1162090</v>
      </c>
      <c r="I98" s="29">
        <v>904</v>
      </c>
      <c r="J98" s="29">
        <v>2241836</v>
      </c>
      <c r="K98" s="29" t="s">
        <v>629</v>
      </c>
      <c r="L98" s="175" t="s">
        <v>539</v>
      </c>
      <c r="M98" s="29">
        <v>3755</v>
      </c>
      <c r="N98" s="29" t="s">
        <v>630</v>
      </c>
      <c r="O98" s="29">
        <v>375500</v>
      </c>
      <c r="R98" s="29" t="s">
        <v>600</v>
      </c>
      <c r="S98" s="29">
        <v>101</v>
      </c>
      <c r="U98" s="29">
        <v>0</v>
      </c>
      <c r="V98" s="29" t="s">
        <v>631</v>
      </c>
      <c r="X98" s="29" t="s">
        <v>518</v>
      </c>
    </row>
    <row r="99" spans="1:24" x14ac:dyDescent="0.25">
      <c r="A99" s="29" t="s">
        <v>117</v>
      </c>
      <c r="B99" s="29">
        <v>762</v>
      </c>
      <c r="C99" s="29" t="s">
        <v>417</v>
      </c>
      <c r="D99" s="29">
        <v>502085207</v>
      </c>
      <c r="E99" s="29">
        <v>0</v>
      </c>
      <c r="F99" s="29">
        <v>1080</v>
      </c>
      <c r="G99" s="29">
        <v>2609434.8569999998</v>
      </c>
      <c r="H99" s="29">
        <v>1162088.6810000001</v>
      </c>
      <c r="I99" s="29">
        <v>901</v>
      </c>
      <c r="J99" s="29">
        <v>2241836</v>
      </c>
      <c r="K99" s="29" t="s">
        <v>629</v>
      </c>
      <c r="L99" s="175" t="s">
        <v>539</v>
      </c>
      <c r="M99" s="29">
        <v>3755</v>
      </c>
      <c r="N99" s="29" t="s">
        <v>630</v>
      </c>
      <c r="O99" s="29">
        <v>375500</v>
      </c>
      <c r="P99" s="29">
        <v>2609434.8569999998</v>
      </c>
      <c r="Q99" s="29">
        <v>1162088.6810000001</v>
      </c>
      <c r="R99" s="29" t="s">
        <v>597</v>
      </c>
      <c r="S99" s="29">
        <v>101</v>
      </c>
      <c r="T99" s="29" t="s">
        <v>632</v>
      </c>
      <c r="U99" s="29">
        <v>0</v>
      </c>
      <c r="V99" s="29" t="s">
        <v>631</v>
      </c>
      <c r="X99" s="29" t="s">
        <v>518</v>
      </c>
    </row>
    <row r="100" spans="1:24" x14ac:dyDescent="0.25">
      <c r="A100" s="29" t="s">
        <v>117</v>
      </c>
      <c r="B100" s="29">
        <v>867</v>
      </c>
      <c r="C100" s="29" t="s">
        <v>442</v>
      </c>
      <c r="D100" s="29">
        <v>191956186</v>
      </c>
      <c r="E100" s="29">
        <v>0</v>
      </c>
      <c r="F100" s="29">
        <v>1080</v>
      </c>
      <c r="G100" s="29">
        <v>2608271.5079999999</v>
      </c>
      <c r="H100" s="29">
        <v>1180606.709</v>
      </c>
      <c r="I100" s="29">
        <v>901</v>
      </c>
      <c r="J100" s="29">
        <v>1034454</v>
      </c>
      <c r="K100" s="29" t="s">
        <v>3146</v>
      </c>
      <c r="M100" s="29">
        <v>3663</v>
      </c>
      <c r="N100" s="29" t="s">
        <v>442</v>
      </c>
      <c r="O100" s="29">
        <v>366300</v>
      </c>
      <c r="P100" s="29">
        <v>2608271.8160000001</v>
      </c>
      <c r="Q100" s="29">
        <v>1180606.3430000001</v>
      </c>
      <c r="R100" s="29" t="s">
        <v>2748</v>
      </c>
      <c r="S100" s="29">
        <v>101</v>
      </c>
      <c r="T100" s="29" t="s">
        <v>3147</v>
      </c>
      <c r="U100" s="29">
        <v>0</v>
      </c>
      <c r="V100" s="29" t="s">
        <v>2344</v>
      </c>
      <c r="X100" s="29" t="s">
        <v>518</v>
      </c>
    </row>
    <row r="101" spans="1:24" x14ac:dyDescent="0.25">
      <c r="A101" s="29" t="s">
        <v>117</v>
      </c>
      <c r="B101" s="29">
        <v>867</v>
      </c>
      <c r="C101" s="29" t="s">
        <v>442</v>
      </c>
      <c r="D101" s="29">
        <v>191956184</v>
      </c>
      <c r="E101" s="29">
        <v>0</v>
      </c>
      <c r="F101" s="29">
        <v>1080</v>
      </c>
      <c r="G101" s="29">
        <v>2608271.7650000001</v>
      </c>
      <c r="H101" s="29">
        <v>1180609.162</v>
      </c>
      <c r="I101" s="29">
        <v>901</v>
      </c>
      <c r="J101" s="29">
        <v>1034454</v>
      </c>
      <c r="K101" s="29" t="s">
        <v>3146</v>
      </c>
      <c r="M101" s="29">
        <v>3663</v>
      </c>
      <c r="N101" s="29" t="s">
        <v>442</v>
      </c>
      <c r="O101" s="29">
        <v>366300</v>
      </c>
      <c r="P101" s="29">
        <v>2608272.023</v>
      </c>
      <c r="Q101" s="29">
        <v>1180608.9269999999</v>
      </c>
      <c r="R101" s="29" t="s">
        <v>2748</v>
      </c>
      <c r="S101" s="29">
        <v>101</v>
      </c>
      <c r="T101" s="29" t="s">
        <v>3147</v>
      </c>
      <c r="U101" s="29">
        <v>0</v>
      </c>
      <c r="V101" s="29" t="s">
        <v>2344</v>
      </c>
      <c r="X101" s="29" t="s">
        <v>518</v>
      </c>
    </row>
    <row r="102" spans="1:24" x14ac:dyDescent="0.25">
      <c r="A102" s="29" t="s">
        <v>117</v>
      </c>
      <c r="B102" s="29">
        <v>867</v>
      </c>
      <c r="C102" s="29" t="s">
        <v>442</v>
      </c>
      <c r="D102" s="29">
        <v>191956192</v>
      </c>
      <c r="E102" s="29">
        <v>0</v>
      </c>
      <c r="F102" s="29">
        <v>1010</v>
      </c>
      <c r="G102" s="29">
        <v>2608285.96</v>
      </c>
      <c r="H102" s="29">
        <v>1180316.9909999999</v>
      </c>
      <c r="I102" s="29">
        <v>901</v>
      </c>
      <c r="J102" s="29">
        <v>1034481</v>
      </c>
      <c r="K102" s="29" t="s">
        <v>795</v>
      </c>
      <c r="M102" s="29">
        <v>3663</v>
      </c>
      <c r="N102" s="29" t="s">
        <v>442</v>
      </c>
      <c r="O102" s="29">
        <v>366300</v>
      </c>
      <c r="P102" s="29">
        <v>2608285.9720000001</v>
      </c>
      <c r="Q102" s="29">
        <v>1180317.0020000001</v>
      </c>
      <c r="R102" s="29" t="s">
        <v>2748</v>
      </c>
      <c r="S102" s="29">
        <v>101</v>
      </c>
      <c r="T102" s="29" t="s">
        <v>3148</v>
      </c>
      <c r="U102" s="29">
        <v>0</v>
      </c>
      <c r="V102" s="29" t="s">
        <v>3149</v>
      </c>
      <c r="X102" s="29" t="s">
        <v>518</v>
      </c>
    </row>
    <row r="103" spans="1:24" x14ac:dyDescent="0.25">
      <c r="A103" s="29" t="s">
        <v>117</v>
      </c>
      <c r="B103" s="29">
        <v>867</v>
      </c>
      <c r="C103" s="29" t="s">
        <v>442</v>
      </c>
      <c r="D103" s="29">
        <v>191956183</v>
      </c>
      <c r="E103" s="29">
        <v>0</v>
      </c>
      <c r="F103" s="29">
        <v>1010</v>
      </c>
      <c r="G103" s="29">
        <v>2608345.156</v>
      </c>
      <c r="H103" s="29">
        <v>1180293.0630000001</v>
      </c>
      <c r="I103" s="29">
        <v>901</v>
      </c>
      <c r="J103" s="29">
        <v>1034481</v>
      </c>
      <c r="K103" s="29" t="s">
        <v>795</v>
      </c>
      <c r="M103" s="29">
        <v>3663</v>
      </c>
      <c r="N103" s="29" t="s">
        <v>442</v>
      </c>
      <c r="O103" s="29">
        <v>366300</v>
      </c>
      <c r="P103" s="29">
        <v>2608344.983</v>
      </c>
      <c r="Q103" s="29">
        <v>1180293.2720000001</v>
      </c>
      <c r="R103" s="29" t="s">
        <v>2748</v>
      </c>
      <c r="S103" s="29">
        <v>101</v>
      </c>
      <c r="T103" s="29" t="s">
        <v>3150</v>
      </c>
      <c r="U103" s="29">
        <v>0</v>
      </c>
      <c r="V103" s="29" t="s">
        <v>3151</v>
      </c>
      <c r="X103" s="29" t="s">
        <v>518</v>
      </c>
    </row>
    <row r="104" spans="1:24" x14ac:dyDescent="0.25">
      <c r="A104" s="29" t="s">
        <v>117</v>
      </c>
      <c r="B104" s="29">
        <v>879</v>
      </c>
      <c r="C104" s="29" t="s">
        <v>448</v>
      </c>
      <c r="D104" s="29">
        <v>1414893</v>
      </c>
      <c r="E104" s="29">
        <v>0</v>
      </c>
      <c r="F104" s="29">
        <v>1060</v>
      </c>
      <c r="G104" s="29">
        <v>2601181.4699999997</v>
      </c>
      <c r="H104" s="29">
        <v>1181190.72</v>
      </c>
      <c r="I104" s="29">
        <v>901</v>
      </c>
      <c r="J104" s="29">
        <v>2096940</v>
      </c>
      <c r="K104" s="29" t="s">
        <v>2175</v>
      </c>
      <c r="L104" s="175" t="s">
        <v>2176</v>
      </c>
      <c r="M104" s="29">
        <v>3099</v>
      </c>
      <c r="N104" s="29" t="s">
        <v>2177</v>
      </c>
      <c r="O104" s="29">
        <v>309900</v>
      </c>
      <c r="P104" s="29">
        <v>2601181.2880000002</v>
      </c>
      <c r="Q104" s="29">
        <v>1181188.1040000001</v>
      </c>
      <c r="R104" s="29" t="s">
        <v>2178</v>
      </c>
      <c r="S104" s="29">
        <v>150</v>
      </c>
      <c r="T104" s="29" t="s">
        <v>2179</v>
      </c>
      <c r="U104" s="29">
        <v>2</v>
      </c>
      <c r="V104" s="29" t="s">
        <v>2180</v>
      </c>
      <c r="X104" s="29" t="s">
        <v>518</v>
      </c>
    </row>
    <row r="105" spans="1:24" x14ac:dyDescent="0.25">
      <c r="A105" s="29" t="s">
        <v>117</v>
      </c>
      <c r="B105" s="29">
        <v>879</v>
      </c>
      <c r="C105" s="29" t="s">
        <v>448</v>
      </c>
      <c r="D105" s="29">
        <v>192012518</v>
      </c>
      <c r="E105" s="29">
        <v>0</v>
      </c>
      <c r="F105" s="29">
        <v>1080</v>
      </c>
      <c r="G105" s="29">
        <v>2601145</v>
      </c>
      <c r="H105" s="29">
        <v>1181179</v>
      </c>
      <c r="I105" s="29">
        <v>904</v>
      </c>
      <c r="J105" s="29">
        <v>2096940</v>
      </c>
      <c r="K105" s="29" t="s">
        <v>2175</v>
      </c>
      <c r="L105" s="175" t="s">
        <v>2176</v>
      </c>
      <c r="M105" s="29">
        <v>3099</v>
      </c>
      <c r="N105" s="29" t="s">
        <v>2177</v>
      </c>
      <c r="O105" s="29">
        <v>309900</v>
      </c>
      <c r="R105" s="29" t="s">
        <v>2181</v>
      </c>
      <c r="S105" s="29">
        <v>101</v>
      </c>
      <c r="U105" s="29">
        <v>2</v>
      </c>
      <c r="V105" s="29" t="s">
        <v>2180</v>
      </c>
      <c r="X105" s="29" t="s">
        <v>518</v>
      </c>
    </row>
    <row r="106" spans="1:24" x14ac:dyDescent="0.25">
      <c r="A106" s="29" t="s">
        <v>117</v>
      </c>
      <c r="B106" s="29">
        <v>879</v>
      </c>
      <c r="C106" s="29" t="s">
        <v>448</v>
      </c>
      <c r="D106" s="29">
        <v>191991752</v>
      </c>
      <c r="E106" s="29">
        <v>0</v>
      </c>
      <c r="F106" s="29">
        <v>1080</v>
      </c>
      <c r="G106" s="29">
        <v>2599713</v>
      </c>
      <c r="H106" s="29">
        <v>1184589</v>
      </c>
      <c r="I106" s="29">
        <v>905</v>
      </c>
      <c r="J106" s="29">
        <v>1034823</v>
      </c>
      <c r="K106" s="29" t="s">
        <v>1488</v>
      </c>
      <c r="L106" s="175" t="s">
        <v>1489</v>
      </c>
      <c r="M106" s="29">
        <v>3132</v>
      </c>
      <c r="N106" s="29" t="s">
        <v>448</v>
      </c>
      <c r="O106" s="29">
        <v>313200</v>
      </c>
      <c r="R106" s="29" t="s">
        <v>1490</v>
      </c>
      <c r="S106" s="29">
        <v>101</v>
      </c>
      <c r="U106" s="29">
        <v>1</v>
      </c>
      <c r="V106" s="29" t="s">
        <v>1487</v>
      </c>
      <c r="X106" s="29" t="s">
        <v>518</v>
      </c>
    </row>
    <row r="107" spans="1:24" x14ac:dyDescent="0.25">
      <c r="A107" s="29" t="s">
        <v>117</v>
      </c>
      <c r="B107" s="29">
        <v>879</v>
      </c>
      <c r="C107" s="29" t="s">
        <v>448</v>
      </c>
      <c r="D107" s="29">
        <v>502115175</v>
      </c>
      <c r="E107" s="29">
        <v>0</v>
      </c>
      <c r="F107" s="29">
        <v>1060</v>
      </c>
      <c r="G107" s="29">
        <v>2599682.4730000002</v>
      </c>
      <c r="H107" s="29">
        <v>1184560.9040000001</v>
      </c>
      <c r="I107" s="29">
        <v>901</v>
      </c>
      <c r="J107" s="29">
        <v>1034823</v>
      </c>
      <c r="K107" s="29" t="s">
        <v>1488</v>
      </c>
      <c r="L107" s="175" t="s">
        <v>1489</v>
      </c>
      <c r="M107" s="29">
        <v>3132</v>
      </c>
      <c r="N107" s="29" t="s">
        <v>448</v>
      </c>
      <c r="O107" s="29">
        <v>313200</v>
      </c>
      <c r="P107" s="29">
        <v>2599683.1239999998</v>
      </c>
      <c r="Q107" s="29">
        <v>1184560.5830000001</v>
      </c>
      <c r="S107" s="29">
        <v>115</v>
      </c>
      <c r="T107" s="29" t="s">
        <v>1491</v>
      </c>
      <c r="U107" s="29">
        <v>1</v>
      </c>
      <c r="V107" s="29" t="s">
        <v>1487</v>
      </c>
      <c r="X107" s="29" t="s">
        <v>518</v>
      </c>
    </row>
    <row r="108" spans="1:24" x14ac:dyDescent="0.25">
      <c r="A108" s="29" t="s">
        <v>117</v>
      </c>
      <c r="B108" s="29">
        <v>901</v>
      </c>
      <c r="C108" s="29" t="s">
        <v>456</v>
      </c>
      <c r="D108" s="29">
        <v>191971703</v>
      </c>
      <c r="E108" s="29">
        <v>0</v>
      </c>
      <c r="F108" s="29">
        <v>1060</v>
      </c>
      <c r="G108" s="29">
        <v>2626325</v>
      </c>
      <c r="H108" s="29">
        <v>1192720</v>
      </c>
      <c r="I108" s="29">
        <v>905</v>
      </c>
      <c r="J108" s="29">
        <v>1035570</v>
      </c>
      <c r="K108" s="29" t="s">
        <v>633</v>
      </c>
      <c r="L108" s="175" t="s">
        <v>634</v>
      </c>
      <c r="M108" s="29">
        <v>3537</v>
      </c>
      <c r="N108" s="29" t="s">
        <v>456</v>
      </c>
      <c r="O108" s="29">
        <v>353700</v>
      </c>
      <c r="R108" s="29" t="s">
        <v>633</v>
      </c>
      <c r="S108" s="29">
        <v>115</v>
      </c>
      <c r="U108" s="29">
        <v>0</v>
      </c>
      <c r="V108" s="29" t="s">
        <v>635</v>
      </c>
      <c r="X108" s="29" t="s">
        <v>518</v>
      </c>
    </row>
    <row r="109" spans="1:24" x14ac:dyDescent="0.25">
      <c r="A109" s="29" t="s">
        <v>117</v>
      </c>
      <c r="B109" s="29">
        <v>901</v>
      </c>
      <c r="C109" s="29" t="s">
        <v>456</v>
      </c>
      <c r="D109" s="29">
        <v>1417540</v>
      </c>
      <c r="E109" s="29">
        <v>0</v>
      </c>
      <c r="F109" s="29">
        <v>1025</v>
      </c>
      <c r="G109" s="29">
        <v>2626402.963</v>
      </c>
      <c r="H109" s="29">
        <v>1192777.753</v>
      </c>
      <c r="I109" s="29">
        <v>905</v>
      </c>
      <c r="J109" s="29">
        <v>1035570</v>
      </c>
      <c r="K109" s="29" t="s">
        <v>633</v>
      </c>
      <c r="L109" s="175" t="s">
        <v>634</v>
      </c>
      <c r="M109" s="29">
        <v>3537</v>
      </c>
      <c r="N109" s="29" t="s">
        <v>456</v>
      </c>
      <c r="O109" s="29">
        <v>353700</v>
      </c>
      <c r="P109" s="29">
        <v>2626405.7349999999</v>
      </c>
      <c r="Q109" s="29">
        <v>1192773.05</v>
      </c>
      <c r="S109" s="29">
        <v>115</v>
      </c>
      <c r="T109" s="29" t="s">
        <v>636</v>
      </c>
      <c r="U109" s="29">
        <v>0</v>
      </c>
      <c r="V109" s="29" t="s">
        <v>637</v>
      </c>
      <c r="X109" s="29" t="s">
        <v>552</v>
      </c>
    </row>
    <row r="110" spans="1:24" x14ac:dyDescent="0.25">
      <c r="A110" s="29" t="s">
        <v>117</v>
      </c>
      <c r="B110" s="29">
        <v>902</v>
      </c>
      <c r="C110" s="29" t="s">
        <v>457</v>
      </c>
      <c r="D110" s="29">
        <v>192031033</v>
      </c>
      <c r="E110" s="29">
        <v>0</v>
      </c>
      <c r="F110" s="29">
        <v>1060</v>
      </c>
      <c r="G110" s="29">
        <v>2626705.1359999999</v>
      </c>
      <c r="H110" s="29">
        <v>1198719.5649999999</v>
      </c>
      <c r="I110" s="29">
        <v>905</v>
      </c>
      <c r="J110" s="29">
        <v>1036074</v>
      </c>
      <c r="K110" s="29" t="s">
        <v>3224</v>
      </c>
      <c r="L110" s="175" t="s">
        <v>3225</v>
      </c>
      <c r="M110" s="29">
        <v>3550</v>
      </c>
      <c r="N110" s="29" t="s">
        <v>457</v>
      </c>
      <c r="O110" s="29">
        <v>355000</v>
      </c>
      <c r="R110" s="29" t="s">
        <v>536</v>
      </c>
      <c r="S110" s="29">
        <v>115</v>
      </c>
      <c r="U110" s="29">
        <v>0</v>
      </c>
      <c r="V110" s="29" t="s">
        <v>3226</v>
      </c>
      <c r="X110" s="29" t="s">
        <v>518</v>
      </c>
    </row>
    <row r="111" spans="1:24" x14ac:dyDescent="0.25">
      <c r="A111" s="29" t="s">
        <v>117</v>
      </c>
      <c r="B111" s="29">
        <v>902</v>
      </c>
      <c r="C111" s="29" t="s">
        <v>457</v>
      </c>
      <c r="D111" s="29">
        <v>502252806</v>
      </c>
      <c r="E111" s="29">
        <v>0</v>
      </c>
      <c r="F111" s="29">
        <v>1060</v>
      </c>
      <c r="G111" s="29">
        <v>2626705.1329999999</v>
      </c>
      <c r="H111" s="29">
        <v>1198719.5619999999</v>
      </c>
      <c r="I111" s="29">
        <v>901</v>
      </c>
      <c r="J111" s="29">
        <v>1036074</v>
      </c>
      <c r="K111" s="29" t="s">
        <v>3224</v>
      </c>
      <c r="L111" s="175" t="s">
        <v>3225</v>
      </c>
      <c r="M111" s="29">
        <v>3550</v>
      </c>
      <c r="N111" s="29" t="s">
        <v>457</v>
      </c>
      <c r="O111" s="29">
        <v>355000</v>
      </c>
      <c r="P111" s="29">
        <v>2626707.6269999999</v>
      </c>
      <c r="Q111" s="29">
        <v>1198718.8330000001</v>
      </c>
      <c r="S111" s="29">
        <v>115</v>
      </c>
      <c r="T111" s="29" t="s">
        <v>3227</v>
      </c>
      <c r="U111" s="29">
        <v>0</v>
      </c>
      <c r="V111" s="29" t="s">
        <v>3226</v>
      </c>
      <c r="X111" s="29" t="s">
        <v>518</v>
      </c>
    </row>
    <row r="112" spans="1:24" x14ac:dyDescent="0.25">
      <c r="A112" s="29" t="s">
        <v>117</v>
      </c>
      <c r="B112" s="29">
        <v>939</v>
      </c>
      <c r="C112" s="29" t="s">
        <v>479</v>
      </c>
      <c r="D112" s="29">
        <v>192004276</v>
      </c>
      <c r="E112" s="29">
        <v>0</v>
      </c>
      <c r="F112" s="29">
        <v>1060</v>
      </c>
      <c r="G112" s="29">
        <v>2613683.0159999998</v>
      </c>
      <c r="H112" s="29">
        <v>1181000.889</v>
      </c>
      <c r="I112" s="29">
        <v>901</v>
      </c>
      <c r="J112" s="29">
        <v>1038579</v>
      </c>
      <c r="K112" s="29" t="s">
        <v>3763</v>
      </c>
      <c r="L112" s="175" t="s">
        <v>3215</v>
      </c>
      <c r="M112" s="29">
        <v>3613</v>
      </c>
      <c r="N112" s="29" t="s">
        <v>479</v>
      </c>
      <c r="O112" s="29">
        <v>361300</v>
      </c>
      <c r="P112" s="29">
        <v>2613670.4440000001</v>
      </c>
      <c r="Q112" s="29">
        <v>1180996.493</v>
      </c>
      <c r="S112" s="29">
        <v>115</v>
      </c>
      <c r="T112" s="29" t="s">
        <v>3764</v>
      </c>
      <c r="U112" s="29">
        <v>1</v>
      </c>
      <c r="V112" s="29" t="s">
        <v>3765</v>
      </c>
      <c r="X112" s="29" t="s">
        <v>518</v>
      </c>
    </row>
    <row r="113" spans="1:24" x14ac:dyDescent="0.25">
      <c r="A113" s="29" t="s">
        <v>117</v>
      </c>
      <c r="B113" s="29">
        <v>939</v>
      </c>
      <c r="C113" s="29" t="s">
        <v>479</v>
      </c>
      <c r="D113" s="29">
        <v>502101619</v>
      </c>
      <c r="E113" s="29">
        <v>0</v>
      </c>
      <c r="F113" s="29">
        <v>1060</v>
      </c>
      <c r="G113" s="29">
        <v>2613672.1370000001</v>
      </c>
      <c r="H113" s="29">
        <v>1180998.94</v>
      </c>
      <c r="I113" s="29">
        <v>904</v>
      </c>
      <c r="J113" s="29">
        <v>1038579</v>
      </c>
      <c r="K113" s="29" t="s">
        <v>3763</v>
      </c>
      <c r="L113" s="175" t="s">
        <v>3215</v>
      </c>
      <c r="M113" s="29">
        <v>3613</v>
      </c>
      <c r="N113" s="29" t="s">
        <v>479</v>
      </c>
      <c r="O113" s="29">
        <v>361300</v>
      </c>
      <c r="P113" s="29">
        <v>2613671.6549999998</v>
      </c>
      <c r="Q113" s="29">
        <v>1180998.8259999999</v>
      </c>
      <c r="S113" s="29">
        <v>115</v>
      </c>
      <c r="T113" s="29" t="s">
        <v>3764</v>
      </c>
      <c r="U113" s="29">
        <v>1</v>
      </c>
      <c r="V113" s="29" t="s">
        <v>3765</v>
      </c>
      <c r="X113" s="29" t="s">
        <v>518</v>
      </c>
    </row>
    <row r="114" spans="1:24" x14ac:dyDescent="0.25">
      <c r="A114" s="29" t="s">
        <v>117</v>
      </c>
      <c r="B114" s="29">
        <v>953</v>
      </c>
      <c r="C114" s="29" t="s">
        <v>490</v>
      </c>
      <c r="D114" s="29">
        <v>502035178</v>
      </c>
      <c r="E114" s="29">
        <v>0</v>
      </c>
      <c r="F114" s="29">
        <v>1060</v>
      </c>
      <c r="G114" s="29">
        <v>2630860.2549999999</v>
      </c>
      <c r="H114" s="29">
        <v>1213579.746</v>
      </c>
      <c r="I114" s="29">
        <v>901</v>
      </c>
      <c r="J114" s="29">
        <v>1039499</v>
      </c>
      <c r="K114" s="29" t="s">
        <v>3197</v>
      </c>
      <c r="L114" s="175" t="s">
        <v>3198</v>
      </c>
      <c r="M114" s="29">
        <v>4952</v>
      </c>
      <c r="N114" s="29" t="s">
        <v>490</v>
      </c>
      <c r="O114" s="29">
        <v>495200</v>
      </c>
      <c r="P114" s="29">
        <v>2630857.909</v>
      </c>
      <c r="Q114" s="29">
        <v>1213577.838</v>
      </c>
      <c r="S114" s="29">
        <v>115</v>
      </c>
      <c r="T114" s="29" t="s">
        <v>3199</v>
      </c>
      <c r="U114" s="29">
        <v>0</v>
      </c>
      <c r="V114" s="29" t="s">
        <v>3200</v>
      </c>
      <c r="X114" s="29" t="s">
        <v>518</v>
      </c>
    </row>
    <row r="115" spans="1:24" x14ac:dyDescent="0.25">
      <c r="A115" s="29" t="s">
        <v>117</v>
      </c>
      <c r="B115" s="29">
        <v>953</v>
      </c>
      <c r="C115" s="29" t="s">
        <v>490</v>
      </c>
      <c r="D115" s="29">
        <v>191978851</v>
      </c>
      <c r="E115" s="29">
        <v>0</v>
      </c>
      <c r="F115" s="29">
        <v>1060</v>
      </c>
      <c r="G115" s="29">
        <v>2630857.8909999998</v>
      </c>
      <c r="H115" s="29">
        <v>1213581.044</v>
      </c>
      <c r="I115" s="29">
        <v>901</v>
      </c>
      <c r="J115" s="29">
        <v>1039499</v>
      </c>
      <c r="K115" s="29" t="s">
        <v>3197</v>
      </c>
      <c r="L115" s="175" t="s">
        <v>3198</v>
      </c>
      <c r="M115" s="29">
        <v>4952</v>
      </c>
      <c r="N115" s="29" t="s">
        <v>490</v>
      </c>
      <c r="O115" s="29">
        <v>495200</v>
      </c>
      <c r="P115" s="29">
        <v>2630858.4339999999</v>
      </c>
      <c r="Q115" s="29">
        <v>1213578.46</v>
      </c>
      <c r="S115" s="29">
        <v>115</v>
      </c>
      <c r="T115" s="29" t="s">
        <v>3199</v>
      </c>
      <c r="U115" s="29">
        <v>0</v>
      </c>
      <c r="V115" s="29" t="s">
        <v>3200</v>
      </c>
      <c r="X115" s="29" t="s">
        <v>518</v>
      </c>
    </row>
    <row r="116" spans="1:24" x14ac:dyDescent="0.25">
      <c r="A116" s="29" t="s">
        <v>117</v>
      </c>
      <c r="B116" s="29">
        <v>957</v>
      </c>
      <c r="C116" s="29" t="s">
        <v>494</v>
      </c>
      <c r="D116" s="29">
        <v>191807856</v>
      </c>
      <c r="E116" s="29">
        <v>0</v>
      </c>
      <c r="F116" s="29">
        <v>1060</v>
      </c>
      <c r="G116" s="29">
        <v>2623199.3849999998</v>
      </c>
      <c r="H116" s="29">
        <v>1208790.5279999999</v>
      </c>
      <c r="I116" s="29">
        <v>901</v>
      </c>
      <c r="J116" s="29">
        <v>1040109</v>
      </c>
      <c r="K116" s="29" t="s">
        <v>1654</v>
      </c>
      <c r="L116" s="175" t="s">
        <v>1655</v>
      </c>
      <c r="M116" s="29">
        <v>3454</v>
      </c>
      <c r="N116" s="29" t="s">
        <v>494</v>
      </c>
      <c r="O116" s="29">
        <v>345400</v>
      </c>
      <c r="P116" s="29">
        <v>2623192.9789999998</v>
      </c>
      <c r="Q116" s="29">
        <v>1208794.561</v>
      </c>
      <c r="R116" s="29" t="s">
        <v>1656</v>
      </c>
      <c r="S116" s="29">
        <v>150</v>
      </c>
      <c r="T116" s="29" t="s">
        <v>1657</v>
      </c>
      <c r="U116" s="29">
        <v>0</v>
      </c>
      <c r="V116" s="29" t="s">
        <v>1658</v>
      </c>
      <c r="X116" s="29" t="s">
        <v>552</v>
      </c>
    </row>
    <row r="117" spans="1:24" x14ac:dyDescent="0.25">
      <c r="A117" s="29" t="s">
        <v>117</v>
      </c>
      <c r="B117" s="29">
        <v>957</v>
      </c>
      <c r="C117" s="29" t="s">
        <v>494</v>
      </c>
      <c r="D117" s="29">
        <v>502257127</v>
      </c>
      <c r="E117" s="29">
        <v>0</v>
      </c>
      <c r="F117" s="29">
        <v>1060</v>
      </c>
      <c r="G117" s="29">
        <v>2623178.7609999999</v>
      </c>
      <c r="H117" s="29">
        <v>1208791.845</v>
      </c>
      <c r="I117" s="29">
        <v>901</v>
      </c>
      <c r="J117" s="29">
        <v>1040109</v>
      </c>
      <c r="K117" s="29" t="s">
        <v>1654</v>
      </c>
      <c r="L117" s="175" t="s">
        <v>1655</v>
      </c>
      <c r="M117" s="29">
        <v>3454</v>
      </c>
      <c r="N117" s="29" t="s">
        <v>494</v>
      </c>
      <c r="O117" s="29">
        <v>345400</v>
      </c>
      <c r="P117" s="29">
        <v>2623177.5120000001</v>
      </c>
      <c r="Q117" s="29">
        <v>1208791.2009999999</v>
      </c>
      <c r="S117" s="29">
        <v>115</v>
      </c>
      <c r="T117" s="29" t="s">
        <v>1657</v>
      </c>
      <c r="U117" s="29">
        <v>0</v>
      </c>
      <c r="V117" s="29" t="s">
        <v>1658</v>
      </c>
      <c r="X117" s="29" t="s">
        <v>518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1138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532</v>
      </c>
      <c r="B1" s="206"/>
      <c r="C1" s="206"/>
      <c r="E1" s="208"/>
      <c r="L1" s="207" t="s">
        <v>3811</v>
      </c>
    </row>
    <row r="2" spans="1:30" s="209" customFormat="1" ht="65.099999999999994" customHeight="1" x14ac:dyDescent="0.2">
      <c r="A2" s="265" t="s">
        <v>775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30" x14ac:dyDescent="0.25">
      <c r="A3" s="29" t="s">
        <v>776</v>
      </c>
      <c r="B3" s="176"/>
      <c r="C3" s="176"/>
      <c r="D3" s="254" t="s">
        <v>166</v>
      </c>
      <c r="E3" s="254"/>
      <c r="F3" s="254"/>
      <c r="G3" s="254"/>
      <c r="H3" s="254"/>
      <c r="I3" s="254"/>
      <c r="J3" s="254"/>
      <c r="K3" s="254"/>
      <c r="L3" s="254"/>
      <c r="M3" s="244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522</v>
      </c>
      <c r="J5" s="161" t="s">
        <v>523</v>
      </c>
      <c r="K5" s="161" t="s">
        <v>90</v>
      </c>
      <c r="L5" s="161" t="s">
        <v>92</v>
      </c>
    </row>
    <row r="6" spans="1:30" s="211" customFormat="1" x14ac:dyDescent="0.25">
      <c r="A6" s="211" t="s">
        <v>117</v>
      </c>
      <c r="B6" s="211">
        <v>301</v>
      </c>
      <c r="C6" s="211" t="s">
        <v>183</v>
      </c>
      <c r="D6" s="211">
        <v>191956632</v>
      </c>
      <c r="E6" s="211">
        <v>1060</v>
      </c>
      <c r="F6" s="211">
        <v>1274</v>
      </c>
      <c r="G6" s="211">
        <v>1004</v>
      </c>
      <c r="I6" s="211" t="s">
        <v>1692</v>
      </c>
      <c r="J6" s="212" t="s">
        <v>638</v>
      </c>
      <c r="K6" s="211" t="s">
        <v>524</v>
      </c>
      <c r="L6" s="211" t="s">
        <v>1693</v>
      </c>
      <c r="AD6" s="213"/>
    </row>
    <row r="7" spans="1:30" s="211" customFormat="1" x14ac:dyDescent="0.25">
      <c r="A7" s="211" t="s">
        <v>117</v>
      </c>
      <c r="B7" s="211">
        <v>301</v>
      </c>
      <c r="C7" s="211" t="s">
        <v>183</v>
      </c>
      <c r="D7" s="211">
        <v>191973887</v>
      </c>
      <c r="E7" s="211">
        <v>1080</v>
      </c>
      <c r="F7" s="211">
        <v>1274</v>
      </c>
      <c r="G7" s="211">
        <v>1003</v>
      </c>
      <c r="I7" s="211" t="s">
        <v>1591</v>
      </c>
      <c r="J7" s="212" t="s">
        <v>638</v>
      </c>
      <c r="K7" s="211" t="s">
        <v>526</v>
      </c>
      <c r="L7" s="211" t="s">
        <v>1812</v>
      </c>
      <c r="AD7" s="213"/>
    </row>
    <row r="8" spans="1:30" s="211" customFormat="1" x14ac:dyDescent="0.25">
      <c r="A8" s="211" t="s">
        <v>117</v>
      </c>
      <c r="B8" s="211">
        <v>301</v>
      </c>
      <c r="C8" s="211" t="s">
        <v>183</v>
      </c>
      <c r="D8" s="211">
        <v>191973888</v>
      </c>
      <c r="E8" s="211">
        <v>1080</v>
      </c>
      <c r="F8" s="211">
        <v>1274</v>
      </c>
      <c r="G8" s="211">
        <v>1003</v>
      </c>
      <c r="I8" s="211" t="s">
        <v>1592</v>
      </c>
      <c r="J8" s="212" t="s">
        <v>638</v>
      </c>
      <c r="K8" s="211" t="s">
        <v>526</v>
      </c>
      <c r="L8" s="211" t="s">
        <v>1813</v>
      </c>
      <c r="AD8" s="213"/>
    </row>
    <row r="9" spans="1:30" s="211" customFormat="1" x14ac:dyDescent="0.25">
      <c r="A9" s="211" t="s">
        <v>117</v>
      </c>
      <c r="B9" s="211">
        <v>301</v>
      </c>
      <c r="C9" s="211" t="s">
        <v>183</v>
      </c>
      <c r="D9" s="211">
        <v>191973890</v>
      </c>
      <c r="E9" s="211">
        <v>1080</v>
      </c>
      <c r="F9" s="211">
        <v>1274</v>
      </c>
      <c r="G9" s="211">
        <v>1003</v>
      </c>
      <c r="I9" s="211" t="s">
        <v>1593</v>
      </c>
      <c r="J9" s="212" t="s">
        <v>638</v>
      </c>
      <c r="K9" s="211" t="s">
        <v>526</v>
      </c>
      <c r="L9" s="211" t="s">
        <v>1814</v>
      </c>
      <c r="AD9" s="213"/>
    </row>
    <row r="10" spans="1:30" s="211" customFormat="1" x14ac:dyDescent="0.25">
      <c r="A10" s="211" t="s">
        <v>117</v>
      </c>
      <c r="B10" s="211">
        <v>302</v>
      </c>
      <c r="C10" s="211" t="s">
        <v>184</v>
      </c>
      <c r="D10" s="211">
        <v>191948383</v>
      </c>
      <c r="E10" s="211">
        <v>1020</v>
      </c>
      <c r="F10" s="211">
        <v>1110</v>
      </c>
      <c r="G10" s="211">
        <v>1004</v>
      </c>
      <c r="I10" s="211" t="s">
        <v>1433</v>
      </c>
      <c r="J10" s="212" t="s">
        <v>638</v>
      </c>
      <c r="K10" s="211" t="s">
        <v>639</v>
      </c>
      <c r="L10" s="211" t="s">
        <v>1475</v>
      </c>
      <c r="AD10" s="213"/>
    </row>
    <row r="11" spans="1:30" s="211" customFormat="1" x14ac:dyDescent="0.25">
      <c r="A11" s="211" t="s">
        <v>117</v>
      </c>
      <c r="B11" s="211">
        <v>302</v>
      </c>
      <c r="C11" s="211" t="s">
        <v>184</v>
      </c>
      <c r="D11" s="211">
        <v>191948388</v>
      </c>
      <c r="E11" s="211">
        <v>1020</v>
      </c>
      <c r="F11" s="211">
        <v>1110</v>
      </c>
      <c r="G11" s="211">
        <v>1004</v>
      </c>
      <c r="I11" s="211" t="s">
        <v>1434</v>
      </c>
      <c r="J11" s="212" t="s">
        <v>638</v>
      </c>
      <c r="K11" s="211" t="s">
        <v>639</v>
      </c>
      <c r="L11" s="211" t="s">
        <v>1475</v>
      </c>
      <c r="AD11" s="213"/>
    </row>
    <row r="12" spans="1:30" s="211" customFormat="1" x14ac:dyDescent="0.25">
      <c r="A12" s="211" t="s">
        <v>117</v>
      </c>
      <c r="B12" s="211">
        <v>302</v>
      </c>
      <c r="C12" s="211" t="s">
        <v>184</v>
      </c>
      <c r="D12" s="211">
        <v>191948391</v>
      </c>
      <c r="E12" s="211">
        <v>1060</v>
      </c>
      <c r="F12" s="211">
        <v>1242</v>
      </c>
      <c r="G12" s="211">
        <v>1004</v>
      </c>
      <c r="I12" s="211" t="s">
        <v>1435</v>
      </c>
      <c r="J12" s="212" t="s">
        <v>638</v>
      </c>
      <c r="K12" s="211" t="s">
        <v>524</v>
      </c>
      <c r="L12" s="211" t="s">
        <v>1460</v>
      </c>
      <c r="AD12" s="213"/>
    </row>
    <row r="13" spans="1:30" s="211" customFormat="1" x14ac:dyDescent="0.25">
      <c r="A13" s="211" t="s">
        <v>117</v>
      </c>
      <c r="B13" s="211">
        <v>302</v>
      </c>
      <c r="C13" s="211" t="s">
        <v>184</v>
      </c>
      <c r="D13" s="211">
        <v>191975406</v>
      </c>
      <c r="E13" s="211">
        <v>1060</v>
      </c>
      <c r="F13" s="211">
        <v>1242</v>
      </c>
      <c r="G13" s="211">
        <v>1004</v>
      </c>
      <c r="I13" s="211" t="s">
        <v>1436</v>
      </c>
      <c r="J13" s="212" t="s">
        <v>638</v>
      </c>
      <c r="K13" s="211" t="s">
        <v>524</v>
      </c>
      <c r="L13" s="211" t="s">
        <v>1461</v>
      </c>
      <c r="AD13" s="213"/>
    </row>
    <row r="14" spans="1:30" s="211" customFormat="1" x14ac:dyDescent="0.25">
      <c r="A14" s="211" t="s">
        <v>117</v>
      </c>
      <c r="B14" s="211">
        <v>302</v>
      </c>
      <c r="C14" s="211" t="s">
        <v>184</v>
      </c>
      <c r="D14" s="211">
        <v>192002015</v>
      </c>
      <c r="E14" s="211">
        <v>1060</v>
      </c>
      <c r="F14" s="211">
        <v>1242</v>
      </c>
      <c r="G14" s="211">
        <v>1004</v>
      </c>
      <c r="I14" s="211" t="s">
        <v>1771</v>
      </c>
      <c r="J14" s="212" t="s">
        <v>638</v>
      </c>
      <c r="K14" s="211" t="s">
        <v>524</v>
      </c>
      <c r="L14" s="211" t="s">
        <v>1776</v>
      </c>
      <c r="AD14" s="213"/>
    </row>
    <row r="15" spans="1:30" s="211" customFormat="1" x14ac:dyDescent="0.25">
      <c r="A15" s="211" t="s">
        <v>117</v>
      </c>
      <c r="B15" s="211">
        <v>305</v>
      </c>
      <c r="C15" s="211" t="s">
        <v>187</v>
      </c>
      <c r="D15" s="211">
        <v>191932830</v>
      </c>
      <c r="E15" s="211">
        <v>1080</v>
      </c>
      <c r="F15" s="211">
        <v>1252</v>
      </c>
      <c r="G15" s="211">
        <v>1004</v>
      </c>
      <c r="I15" s="211" t="s">
        <v>1626</v>
      </c>
      <c r="J15" s="212" t="s">
        <v>638</v>
      </c>
      <c r="K15" s="211" t="s">
        <v>639</v>
      </c>
      <c r="L15" s="211" t="s">
        <v>1638</v>
      </c>
      <c r="AD15" s="213"/>
    </row>
    <row r="16" spans="1:30" s="211" customFormat="1" x14ac:dyDescent="0.25">
      <c r="A16" s="211" t="s">
        <v>117</v>
      </c>
      <c r="B16" s="211">
        <v>305</v>
      </c>
      <c r="C16" s="211" t="s">
        <v>187</v>
      </c>
      <c r="D16" s="211">
        <v>191969919</v>
      </c>
      <c r="E16" s="211">
        <v>1080</v>
      </c>
      <c r="F16" s="211">
        <v>1271</v>
      </c>
      <c r="G16" s="211">
        <v>1004</v>
      </c>
      <c r="I16" s="211" t="s">
        <v>1627</v>
      </c>
      <c r="J16" s="212" t="s">
        <v>638</v>
      </c>
      <c r="K16" s="211" t="s">
        <v>524</v>
      </c>
      <c r="L16" s="211" t="s">
        <v>1634</v>
      </c>
      <c r="AD16" s="213"/>
    </row>
    <row r="17" spans="1:30" s="211" customFormat="1" x14ac:dyDescent="0.25">
      <c r="A17" s="211" t="s">
        <v>117</v>
      </c>
      <c r="B17" s="211">
        <v>305</v>
      </c>
      <c r="C17" s="211" t="s">
        <v>187</v>
      </c>
      <c r="D17" s="211">
        <v>191995643</v>
      </c>
      <c r="E17" s="211">
        <v>1080</v>
      </c>
      <c r="F17" s="211">
        <v>1242</v>
      </c>
      <c r="G17" s="211">
        <v>1004</v>
      </c>
      <c r="I17" s="211" t="s">
        <v>2506</v>
      </c>
      <c r="J17" s="212" t="s">
        <v>638</v>
      </c>
      <c r="K17" s="211" t="s">
        <v>524</v>
      </c>
      <c r="L17" s="211" t="s">
        <v>2533</v>
      </c>
      <c r="AD17" s="213"/>
    </row>
    <row r="18" spans="1:30" s="211" customFormat="1" x14ac:dyDescent="0.25">
      <c r="A18" s="211" t="s">
        <v>117</v>
      </c>
      <c r="B18" s="211">
        <v>306</v>
      </c>
      <c r="C18" s="211" t="s">
        <v>188</v>
      </c>
      <c r="D18" s="211">
        <v>1253875</v>
      </c>
      <c r="E18" s="211">
        <v>1020</v>
      </c>
      <c r="F18" s="211">
        <v>1121</v>
      </c>
      <c r="G18" s="211">
        <v>1004</v>
      </c>
      <c r="I18" s="211" t="s">
        <v>2671</v>
      </c>
      <c r="J18" s="212" t="s">
        <v>638</v>
      </c>
      <c r="K18" s="211" t="s">
        <v>524</v>
      </c>
      <c r="L18" s="211" t="s">
        <v>2693</v>
      </c>
      <c r="AD18" s="213"/>
    </row>
    <row r="19" spans="1:30" s="211" customFormat="1" x14ac:dyDescent="0.25">
      <c r="A19" s="211" t="s">
        <v>117</v>
      </c>
      <c r="B19" s="211">
        <v>306</v>
      </c>
      <c r="C19" s="211" t="s">
        <v>188</v>
      </c>
      <c r="D19" s="211">
        <v>190684830</v>
      </c>
      <c r="E19" s="211">
        <v>1060</v>
      </c>
      <c r="F19" s="211">
        <v>1274</v>
      </c>
      <c r="G19" s="211">
        <v>1004</v>
      </c>
      <c r="I19" s="211" t="s">
        <v>2989</v>
      </c>
      <c r="J19" s="212" t="s">
        <v>638</v>
      </c>
      <c r="K19" s="211" t="s">
        <v>639</v>
      </c>
      <c r="L19" s="211" t="s">
        <v>3008</v>
      </c>
      <c r="AD19" s="213"/>
    </row>
    <row r="20" spans="1:30" s="211" customFormat="1" x14ac:dyDescent="0.25">
      <c r="A20" s="211" t="s">
        <v>117</v>
      </c>
      <c r="B20" s="211">
        <v>306</v>
      </c>
      <c r="C20" s="211" t="s">
        <v>188</v>
      </c>
      <c r="D20" s="211">
        <v>191650671</v>
      </c>
      <c r="E20" s="211">
        <v>1060</v>
      </c>
      <c r="F20" s="211">
        <v>1242</v>
      </c>
      <c r="G20" s="211">
        <v>1004</v>
      </c>
      <c r="I20" s="211" t="s">
        <v>2596</v>
      </c>
      <c r="J20" s="212" t="s">
        <v>638</v>
      </c>
      <c r="K20" s="211" t="s">
        <v>639</v>
      </c>
      <c r="L20" s="211" t="s">
        <v>2612</v>
      </c>
      <c r="AD20" s="213"/>
    </row>
    <row r="21" spans="1:30" s="211" customFormat="1" x14ac:dyDescent="0.25">
      <c r="A21" s="211" t="s">
        <v>117</v>
      </c>
      <c r="B21" s="211">
        <v>306</v>
      </c>
      <c r="C21" s="211" t="s">
        <v>188</v>
      </c>
      <c r="D21" s="211">
        <v>191788758</v>
      </c>
      <c r="E21" s="211">
        <v>1060</v>
      </c>
      <c r="F21" s="211">
        <v>1274</v>
      </c>
      <c r="G21" s="211">
        <v>1004</v>
      </c>
      <c r="I21" s="211" t="s">
        <v>3016</v>
      </c>
      <c r="J21" s="212" t="s">
        <v>638</v>
      </c>
      <c r="K21" s="211" t="s">
        <v>524</v>
      </c>
      <c r="L21" s="211" t="s">
        <v>3181</v>
      </c>
      <c r="AD21" s="213"/>
    </row>
    <row r="22" spans="1:30" s="211" customFormat="1" x14ac:dyDescent="0.25">
      <c r="A22" s="211" t="s">
        <v>117</v>
      </c>
      <c r="B22" s="211">
        <v>306</v>
      </c>
      <c r="C22" s="211" t="s">
        <v>188</v>
      </c>
      <c r="D22" s="211">
        <v>191788759</v>
      </c>
      <c r="E22" s="211">
        <v>1060</v>
      </c>
      <c r="F22" s="211">
        <v>1251</v>
      </c>
      <c r="G22" s="211">
        <v>1004</v>
      </c>
      <c r="I22" s="211" t="s">
        <v>3016</v>
      </c>
      <c r="J22" s="212" t="s">
        <v>638</v>
      </c>
      <c r="K22" s="211" t="s">
        <v>524</v>
      </c>
      <c r="L22" s="211" t="s">
        <v>3102</v>
      </c>
      <c r="AD22" s="213"/>
    </row>
    <row r="23" spans="1:30" s="211" customFormat="1" x14ac:dyDescent="0.25">
      <c r="A23" s="211" t="s">
        <v>117</v>
      </c>
      <c r="B23" s="211">
        <v>306</v>
      </c>
      <c r="C23" s="211" t="s">
        <v>188</v>
      </c>
      <c r="D23" s="211">
        <v>191788760</v>
      </c>
      <c r="E23" s="211">
        <v>1080</v>
      </c>
      <c r="F23" s="211">
        <v>1242</v>
      </c>
      <c r="G23" s="211">
        <v>1004</v>
      </c>
      <c r="I23" s="211" t="s">
        <v>3017</v>
      </c>
      <c r="J23" s="212" t="s">
        <v>638</v>
      </c>
      <c r="K23" s="211" t="s">
        <v>524</v>
      </c>
      <c r="L23" s="211" t="s">
        <v>3103</v>
      </c>
      <c r="AD23" s="213"/>
    </row>
    <row r="24" spans="1:30" s="211" customFormat="1" x14ac:dyDescent="0.25">
      <c r="A24" s="211" t="s">
        <v>117</v>
      </c>
      <c r="B24" s="211">
        <v>306</v>
      </c>
      <c r="C24" s="211" t="s">
        <v>188</v>
      </c>
      <c r="D24" s="211">
        <v>191788768</v>
      </c>
      <c r="E24" s="211">
        <v>1060</v>
      </c>
      <c r="F24" s="211">
        <v>1274</v>
      </c>
      <c r="G24" s="211">
        <v>1004</v>
      </c>
      <c r="I24" s="211" t="s">
        <v>2785</v>
      </c>
      <c r="J24" s="212" t="s">
        <v>638</v>
      </c>
      <c r="K24" s="211" t="s">
        <v>524</v>
      </c>
      <c r="L24" s="211" t="s">
        <v>2820</v>
      </c>
      <c r="AD24" s="213"/>
    </row>
    <row r="25" spans="1:30" s="211" customFormat="1" x14ac:dyDescent="0.25">
      <c r="A25" s="211" t="s">
        <v>117</v>
      </c>
      <c r="B25" s="211">
        <v>306</v>
      </c>
      <c r="C25" s="211" t="s">
        <v>188</v>
      </c>
      <c r="D25" s="211">
        <v>191788770</v>
      </c>
      <c r="E25" s="211">
        <v>1060</v>
      </c>
      <c r="F25" s="211">
        <v>1274</v>
      </c>
      <c r="G25" s="211">
        <v>1004</v>
      </c>
      <c r="I25" s="211" t="s">
        <v>3018</v>
      </c>
      <c r="J25" s="212" t="s">
        <v>638</v>
      </c>
      <c r="K25" s="211" t="s">
        <v>524</v>
      </c>
      <c r="L25" s="211" t="s">
        <v>3104</v>
      </c>
      <c r="AD25" s="213"/>
    </row>
    <row r="26" spans="1:30" s="211" customFormat="1" x14ac:dyDescent="0.25">
      <c r="A26" s="211" t="s">
        <v>117</v>
      </c>
      <c r="B26" s="211">
        <v>306</v>
      </c>
      <c r="C26" s="211" t="s">
        <v>188</v>
      </c>
      <c r="D26" s="211">
        <v>191882494</v>
      </c>
      <c r="E26" s="211">
        <v>1060</v>
      </c>
      <c r="F26" s="211">
        <v>1242</v>
      </c>
      <c r="G26" s="211">
        <v>1003</v>
      </c>
      <c r="I26" s="211" t="s">
        <v>1517</v>
      </c>
      <c r="J26" s="212" t="s">
        <v>638</v>
      </c>
      <c r="K26" s="211" t="s">
        <v>639</v>
      </c>
      <c r="L26" s="211" t="s">
        <v>1547</v>
      </c>
      <c r="AD26" s="213"/>
    </row>
    <row r="27" spans="1:30" s="211" customFormat="1" x14ac:dyDescent="0.25">
      <c r="A27" s="211" t="s">
        <v>117</v>
      </c>
      <c r="B27" s="211">
        <v>306</v>
      </c>
      <c r="C27" s="211" t="s">
        <v>188</v>
      </c>
      <c r="D27" s="211">
        <v>191953658</v>
      </c>
      <c r="E27" s="211">
        <v>1060</v>
      </c>
      <c r="F27" s="211">
        <v>1242</v>
      </c>
      <c r="G27" s="211">
        <v>1004</v>
      </c>
      <c r="I27" s="211" t="s">
        <v>3019</v>
      </c>
      <c r="J27" s="212" t="s">
        <v>638</v>
      </c>
      <c r="K27" s="211" t="s">
        <v>524</v>
      </c>
      <c r="L27" s="211" t="s">
        <v>3247</v>
      </c>
      <c r="AD27" s="213"/>
    </row>
    <row r="28" spans="1:30" s="211" customFormat="1" x14ac:dyDescent="0.25">
      <c r="A28" s="211" t="s">
        <v>117</v>
      </c>
      <c r="B28" s="211">
        <v>306</v>
      </c>
      <c r="C28" s="211" t="s">
        <v>188</v>
      </c>
      <c r="D28" s="211">
        <v>191965291</v>
      </c>
      <c r="E28" s="211">
        <v>1080</v>
      </c>
      <c r="F28" s="211">
        <v>1242</v>
      </c>
      <c r="G28" s="211">
        <v>1004</v>
      </c>
      <c r="I28" s="211" t="s">
        <v>2672</v>
      </c>
      <c r="J28" s="212" t="s">
        <v>638</v>
      </c>
      <c r="K28" s="211" t="s">
        <v>526</v>
      </c>
      <c r="L28" s="211" t="s">
        <v>2690</v>
      </c>
      <c r="AD28" s="213"/>
    </row>
    <row r="29" spans="1:30" s="211" customFormat="1" x14ac:dyDescent="0.25">
      <c r="A29" s="211" t="s">
        <v>117</v>
      </c>
      <c r="B29" s="211">
        <v>306</v>
      </c>
      <c r="C29" s="211" t="s">
        <v>188</v>
      </c>
      <c r="D29" s="211">
        <v>191972118</v>
      </c>
      <c r="E29" s="211">
        <v>1080</v>
      </c>
      <c r="F29" s="211">
        <v>1242</v>
      </c>
      <c r="G29" s="211">
        <v>1004</v>
      </c>
      <c r="I29" s="211" t="s">
        <v>803</v>
      </c>
      <c r="J29" s="212" t="s">
        <v>638</v>
      </c>
      <c r="K29" s="211" t="s">
        <v>639</v>
      </c>
      <c r="L29" s="211" t="s">
        <v>907</v>
      </c>
      <c r="AD29" s="213"/>
    </row>
    <row r="30" spans="1:30" s="211" customFormat="1" x14ac:dyDescent="0.25">
      <c r="A30" s="211" t="s">
        <v>117</v>
      </c>
      <c r="B30" s="211">
        <v>306</v>
      </c>
      <c r="C30" s="211" t="s">
        <v>188</v>
      </c>
      <c r="D30" s="211">
        <v>192037823</v>
      </c>
      <c r="E30" s="211">
        <v>1060</v>
      </c>
      <c r="F30" s="211">
        <v>1242</v>
      </c>
      <c r="G30" s="211">
        <v>1004</v>
      </c>
      <c r="I30" s="211" t="s">
        <v>2641</v>
      </c>
      <c r="J30" s="212" t="s">
        <v>638</v>
      </c>
      <c r="K30" s="211" t="s">
        <v>524</v>
      </c>
      <c r="L30" s="211" t="s">
        <v>2657</v>
      </c>
      <c r="AD30" s="213"/>
    </row>
    <row r="31" spans="1:30" s="211" customFormat="1" x14ac:dyDescent="0.25">
      <c r="A31" s="211" t="s">
        <v>117</v>
      </c>
      <c r="B31" s="211">
        <v>306</v>
      </c>
      <c r="C31" s="211" t="s">
        <v>188</v>
      </c>
      <c r="D31" s="211">
        <v>192037831</v>
      </c>
      <c r="E31" s="211">
        <v>1060</v>
      </c>
      <c r="F31" s="211">
        <v>1242</v>
      </c>
      <c r="G31" s="211">
        <v>1004</v>
      </c>
      <c r="I31" s="211" t="s">
        <v>2642</v>
      </c>
      <c r="J31" s="212" t="s">
        <v>638</v>
      </c>
      <c r="K31" s="211" t="s">
        <v>526</v>
      </c>
      <c r="L31" s="211" t="s">
        <v>2729</v>
      </c>
      <c r="AD31" s="213"/>
    </row>
    <row r="32" spans="1:30" s="211" customFormat="1" x14ac:dyDescent="0.25">
      <c r="A32" s="211" t="s">
        <v>117</v>
      </c>
      <c r="B32" s="211">
        <v>306</v>
      </c>
      <c r="C32" s="211" t="s">
        <v>188</v>
      </c>
      <c r="D32" s="211">
        <v>192047209</v>
      </c>
      <c r="E32" s="211">
        <v>1080</v>
      </c>
      <c r="F32" s="211">
        <v>1274</v>
      </c>
      <c r="G32" s="211">
        <v>1004</v>
      </c>
      <c r="I32" s="211" t="s">
        <v>3152</v>
      </c>
      <c r="J32" s="212" t="s">
        <v>638</v>
      </c>
      <c r="K32" s="211" t="s">
        <v>524</v>
      </c>
      <c r="L32" s="211" t="s">
        <v>3182</v>
      </c>
      <c r="AD32" s="213"/>
    </row>
    <row r="33" spans="1:30" s="211" customFormat="1" x14ac:dyDescent="0.25">
      <c r="A33" s="211" t="s">
        <v>117</v>
      </c>
      <c r="B33" s="211">
        <v>306</v>
      </c>
      <c r="C33" s="211" t="s">
        <v>188</v>
      </c>
      <c r="D33" s="211">
        <v>192047998</v>
      </c>
      <c r="E33" s="211">
        <v>1020</v>
      </c>
      <c r="F33" s="211">
        <v>1122</v>
      </c>
      <c r="G33" s="211">
        <v>1004</v>
      </c>
      <c r="I33" s="211" t="s">
        <v>3228</v>
      </c>
      <c r="J33" s="212" t="s">
        <v>638</v>
      </c>
      <c r="K33" s="211" t="s">
        <v>639</v>
      </c>
      <c r="L33" s="211" t="s">
        <v>3257</v>
      </c>
      <c r="AD33" s="213"/>
    </row>
    <row r="34" spans="1:30" s="211" customFormat="1" x14ac:dyDescent="0.25">
      <c r="A34" s="211" t="s">
        <v>117</v>
      </c>
      <c r="B34" s="211">
        <v>306</v>
      </c>
      <c r="C34" s="211" t="s">
        <v>188</v>
      </c>
      <c r="D34" s="211">
        <v>192048029</v>
      </c>
      <c r="E34" s="211">
        <v>1020</v>
      </c>
      <c r="F34" s="211">
        <v>1122</v>
      </c>
      <c r="G34" s="211">
        <v>1004</v>
      </c>
      <c r="I34" s="211" t="s">
        <v>3229</v>
      </c>
      <c r="J34" s="212" t="s">
        <v>638</v>
      </c>
      <c r="K34" s="211" t="s">
        <v>639</v>
      </c>
      <c r="L34" s="211" t="s">
        <v>3258</v>
      </c>
      <c r="AD34" s="213"/>
    </row>
    <row r="35" spans="1:30" s="211" customFormat="1" x14ac:dyDescent="0.25">
      <c r="A35" s="211" t="s">
        <v>117</v>
      </c>
      <c r="B35" s="211">
        <v>306</v>
      </c>
      <c r="C35" s="211" t="s">
        <v>188</v>
      </c>
      <c r="D35" s="211">
        <v>192049675</v>
      </c>
      <c r="E35" s="211">
        <v>1080</v>
      </c>
      <c r="F35" s="211">
        <v>1242</v>
      </c>
      <c r="G35" s="211">
        <v>1004</v>
      </c>
      <c r="I35" s="211" t="s">
        <v>3362</v>
      </c>
      <c r="J35" s="212" t="s">
        <v>638</v>
      </c>
      <c r="K35" s="211" t="s">
        <v>524</v>
      </c>
      <c r="L35" s="211" t="s">
        <v>3403</v>
      </c>
      <c r="AD35" s="213"/>
    </row>
    <row r="36" spans="1:30" s="211" customFormat="1" x14ac:dyDescent="0.25">
      <c r="A36" s="211" t="s">
        <v>117</v>
      </c>
      <c r="B36" s="211">
        <v>306</v>
      </c>
      <c r="C36" s="211" t="s">
        <v>188</v>
      </c>
      <c r="D36" s="211">
        <v>502190472</v>
      </c>
      <c r="E36" s="211">
        <v>1080</v>
      </c>
      <c r="F36" s="211">
        <v>1242</v>
      </c>
      <c r="G36" s="211">
        <v>1004</v>
      </c>
      <c r="I36" s="211" t="s">
        <v>2673</v>
      </c>
      <c r="J36" s="212" t="s">
        <v>638</v>
      </c>
      <c r="K36" s="211" t="s">
        <v>526</v>
      </c>
      <c r="L36" s="211" t="s">
        <v>2690</v>
      </c>
      <c r="AD36" s="213"/>
    </row>
    <row r="37" spans="1:30" s="211" customFormat="1" x14ac:dyDescent="0.25">
      <c r="A37" s="211" t="s">
        <v>117</v>
      </c>
      <c r="B37" s="211">
        <v>307</v>
      </c>
      <c r="C37" s="211" t="s">
        <v>189</v>
      </c>
      <c r="D37" s="211">
        <v>191936874</v>
      </c>
      <c r="E37" s="211">
        <v>1060</v>
      </c>
      <c r="F37" s="211">
        <v>1274</v>
      </c>
      <c r="G37" s="211">
        <v>1004</v>
      </c>
      <c r="I37" s="211" t="s">
        <v>955</v>
      </c>
      <c r="J37" s="212" t="s">
        <v>638</v>
      </c>
      <c r="K37" s="211" t="s">
        <v>524</v>
      </c>
      <c r="L37" s="211" t="s">
        <v>957</v>
      </c>
      <c r="AD37" s="213"/>
    </row>
    <row r="38" spans="1:30" s="211" customFormat="1" x14ac:dyDescent="0.25">
      <c r="A38" s="211" t="s">
        <v>117</v>
      </c>
      <c r="B38" s="211">
        <v>307</v>
      </c>
      <c r="C38" s="211" t="s">
        <v>189</v>
      </c>
      <c r="D38" s="211">
        <v>192008785</v>
      </c>
      <c r="E38" s="211">
        <v>1060</v>
      </c>
      <c r="F38" s="211">
        <v>1271</v>
      </c>
      <c r="G38" s="211">
        <v>1004</v>
      </c>
      <c r="I38" s="211" t="s">
        <v>2926</v>
      </c>
      <c r="J38" s="212" t="s">
        <v>638</v>
      </c>
      <c r="K38" s="211" t="s">
        <v>524</v>
      </c>
      <c r="L38" s="211" t="s">
        <v>2934</v>
      </c>
      <c r="AD38" s="213"/>
    </row>
    <row r="39" spans="1:30" s="211" customFormat="1" x14ac:dyDescent="0.25">
      <c r="A39" s="211" t="s">
        <v>117</v>
      </c>
      <c r="B39" s="211">
        <v>309</v>
      </c>
      <c r="C39" s="211" t="s">
        <v>190</v>
      </c>
      <c r="D39" s="211">
        <v>502062406</v>
      </c>
      <c r="E39" s="211">
        <v>1060</v>
      </c>
      <c r="G39" s="211">
        <v>1004</v>
      </c>
      <c r="I39" s="211" t="s">
        <v>3272</v>
      </c>
      <c r="J39" s="212" t="s">
        <v>638</v>
      </c>
      <c r="K39" s="211" t="s">
        <v>524</v>
      </c>
      <c r="L39" s="211" t="s">
        <v>3328</v>
      </c>
      <c r="AD39" s="213"/>
    </row>
    <row r="40" spans="1:30" s="211" customFormat="1" x14ac:dyDescent="0.25">
      <c r="A40" s="211" t="s">
        <v>117</v>
      </c>
      <c r="B40" s="211">
        <v>310</v>
      </c>
      <c r="C40" s="211" t="s">
        <v>191</v>
      </c>
      <c r="D40" s="211">
        <v>191961687</v>
      </c>
      <c r="E40" s="211">
        <v>1060</v>
      </c>
      <c r="F40" s="211">
        <v>1242</v>
      </c>
      <c r="G40" s="211">
        <v>1004</v>
      </c>
      <c r="I40" s="211" t="s">
        <v>3538</v>
      </c>
      <c r="J40" s="212" t="s">
        <v>638</v>
      </c>
      <c r="K40" s="211" t="s">
        <v>524</v>
      </c>
      <c r="L40" s="211" t="s">
        <v>3577</v>
      </c>
      <c r="AD40" s="213"/>
    </row>
    <row r="41" spans="1:30" s="211" customFormat="1" x14ac:dyDescent="0.25">
      <c r="A41" s="211" t="s">
        <v>117</v>
      </c>
      <c r="B41" s="211">
        <v>310</v>
      </c>
      <c r="C41" s="211" t="s">
        <v>191</v>
      </c>
      <c r="D41" s="211">
        <v>191978828</v>
      </c>
      <c r="E41" s="211">
        <v>1060</v>
      </c>
      <c r="F41" s="211">
        <v>1274</v>
      </c>
      <c r="G41" s="211">
        <v>1004</v>
      </c>
      <c r="I41" s="211" t="s">
        <v>1326</v>
      </c>
      <c r="J41" s="212" t="s">
        <v>638</v>
      </c>
      <c r="K41" s="211" t="s">
        <v>524</v>
      </c>
      <c r="L41" s="211" t="s">
        <v>1379</v>
      </c>
      <c r="AD41" s="213"/>
    </row>
    <row r="42" spans="1:30" s="211" customFormat="1" x14ac:dyDescent="0.25">
      <c r="A42" s="211" t="s">
        <v>117</v>
      </c>
      <c r="B42" s="211">
        <v>310</v>
      </c>
      <c r="C42" s="211" t="s">
        <v>191</v>
      </c>
      <c r="D42" s="211">
        <v>191989892</v>
      </c>
      <c r="E42" s="211">
        <v>1060</v>
      </c>
      <c r="F42" s="211">
        <v>1274</v>
      </c>
      <c r="G42" s="211">
        <v>1004</v>
      </c>
      <c r="I42" s="211" t="s">
        <v>3230</v>
      </c>
      <c r="J42" s="212" t="s">
        <v>638</v>
      </c>
      <c r="K42" s="211" t="s">
        <v>524</v>
      </c>
      <c r="L42" s="211" t="s">
        <v>3248</v>
      </c>
      <c r="AD42" s="213"/>
    </row>
    <row r="43" spans="1:30" s="211" customFormat="1" x14ac:dyDescent="0.25">
      <c r="A43" s="211" t="s">
        <v>117</v>
      </c>
      <c r="B43" s="211">
        <v>310</v>
      </c>
      <c r="C43" s="211" t="s">
        <v>191</v>
      </c>
      <c r="D43" s="211">
        <v>191994342</v>
      </c>
      <c r="E43" s="211">
        <v>1060</v>
      </c>
      <c r="F43" s="211">
        <v>1242</v>
      </c>
      <c r="G43" s="211">
        <v>1004</v>
      </c>
      <c r="I43" s="211" t="s">
        <v>2941</v>
      </c>
      <c r="J43" s="212" t="s">
        <v>638</v>
      </c>
      <c r="K43" s="211" t="s">
        <v>639</v>
      </c>
      <c r="L43" s="211" t="s">
        <v>2980</v>
      </c>
      <c r="AD43" s="213"/>
    </row>
    <row r="44" spans="1:30" s="211" customFormat="1" x14ac:dyDescent="0.25">
      <c r="A44" s="211" t="s">
        <v>117</v>
      </c>
      <c r="B44" s="211">
        <v>310</v>
      </c>
      <c r="C44" s="211" t="s">
        <v>191</v>
      </c>
      <c r="D44" s="211">
        <v>191999992</v>
      </c>
      <c r="E44" s="211">
        <v>1060</v>
      </c>
      <c r="F44" s="211">
        <v>1271</v>
      </c>
      <c r="G44" s="211">
        <v>1004</v>
      </c>
      <c r="I44" s="211" t="s">
        <v>3231</v>
      </c>
      <c r="J44" s="212" t="s">
        <v>638</v>
      </c>
      <c r="K44" s="211" t="s">
        <v>524</v>
      </c>
      <c r="L44" s="211" t="s">
        <v>3249</v>
      </c>
      <c r="AD44" s="213"/>
    </row>
    <row r="45" spans="1:30" s="211" customFormat="1" x14ac:dyDescent="0.25">
      <c r="A45" s="211" t="s">
        <v>117</v>
      </c>
      <c r="B45" s="211">
        <v>310</v>
      </c>
      <c r="C45" s="211" t="s">
        <v>191</v>
      </c>
      <c r="D45" s="211">
        <v>192010260</v>
      </c>
      <c r="E45" s="211">
        <v>1060</v>
      </c>
      <c r="F45" s="211">
        <v>1274</v>
      </c>
      <c r="G45" s="211">
        <v>1003</v>
      </c>
      <c r="I45" s="211" t="s">
        <v>1694</v>
      </c>
      <c r="J45" s="212" t="s">
        <v>638</v>
      </c>
      <c r="K45" s="211" t="s">
        <v>639</v>
      </c>
      <c r="L45" s="211" t="s">
        <v>1696</v>
      </c>
      <c r="AD45" s="213"/>
    </row>
    <row r="46" spans="1:30" s="211" customFormat="1" x14ac:dyDescent="0.25">
      <c r="A46" s="211" t="s">
        <v>117</v>
      </c>
      <c r="B46" s="211">
        <v>310</v>
      </c>
      <c r="C46" s="211" t="s">
        <v>191</v>
      </c>
      <c r="D46" s="211">
        <v>192015475</v>
      </c>
      <c r="E46" s="211">
        <v>1060</v>
      </c>
      <c r="F46" s="211">
        <v>1274</v>
      </c>
      <c r="G46" s="211">
        <v>1004</v>
      </c>
      <c r="I46" s="211" t="s">
        <v>2507</v>
      </c>
      <c r="J46" s="212" t="s">
        <v>638</v>
      </c>
      <c r="K46" s="211" t="s">
        <v>524</v>
      </c>
      <c r="L46" s="211" t="s">
        <v>2534</v>
      </c>
      <c r="AD46" s="213"/>
    </row>
    <row r="47" spans="1:30" s="211" customFormat="1" x14ac:dyDescent="0.25">
      <c r="A47" s="211" t="s">
        <v>117</v>
      </c>
      <c r="B47" s="211">
        <v>311</v>
      </c>
      <c r="C47" s="211" t="s">
        <v>192</v>
      </c>
      <c r="D47" s="211">
        <v>191999505</v>
      </c>
      <c r="E47" s="211">
        <v>1060</v>
      </c>
      <c r="F47" s="211">
        <v>1271</v>
      </c>
      <c r="G47" s="211">
        <v>1004</v>
      </c>
      <c r="I47" s="211" t="s">
        <v>1492</v>
      </c>
      <c r="J47" s="212" t="s">
        <v>638</v>
      </c>
      <c r="K47" s="211" t="s">
        <v>524</v>
      </c>
      <c r="L47" s="211" t="s">
        <v>1506</v>
      </c>
      <c r="AD47" s="213"/>
    </row>
    <row r="48" spans="1:30" s="211" customFormat="1" x14ac:dyDescent="0.25">
      <c r="A48" s="211" t="s">
        <v>117</v>
      </c>
      <c r="B48" s="211">
        <v>312</v>
      </c>
      <c r="C48" s="211" t="s">
        <v>193</v>
      </c>
      <c r="D48" s="211">
        <v>192048462</v>
      </c>
      <c r="E48" s="211">
        <v>1040</v>
      </c>
      <c r="F48" s="211">
        <v>1264</v>
      </c>
      <c r="G48" s="211">
        <v>1003</v>
      </c>
      <c r="I48" s="211" t="s">
        <v>3273</v>
      </c>
      <c r="J48" s="212" t="s">
        <v>638</v>
      </c>
      <c r="K48" s="211" t="s">
        <v>524</v>
      </c>
      <c r="L48" s="211" t="s">
        <v>3329</v>
      </c>
      <c r="AD48" s="213"/>
    </row>
    <row r="49" spans="1:30" s="211" customFormat="1" x14ac:dyDescent="0.25">
      <c r="A49" s="211" t="s">
        <v>117</v>
      </c>
      <c r="B49" s="211">
        <v>321</v>
      </c>
      <c r="C49" s="211" t="s">
        <v>194</v>
      </c>
      <c r="D49" s="211">
        <v>192037056</v>
      </c>
      <c r="E49" s="211">
        <v>1060</v>
      </c>
      <c r="F49" s="211">
        <v>1274</v>
      </c>
      <c r="G49" s="211">
        <v>1004</v>
      </c>
      <c r="I49" s="211" t="s">
        <v>2615</v>
      </c>
      <c r="J49" s="212" t="s">
        <v>638</v>
      </c>
      <c r="K49" s="211" t="s">
        <v>639</v>
      </c>
      <c r="L49" s="211" t="s">
        <v>2635</v>
      </c>
      <c r="AD49" s="213"/>
    </row>
    <row r="50" spans="1:30" s="211" customFormat="1" x14ac:dyDescent="0.25">
      <c r="A50" s="211" t="s">
        <v>117</v>
      </c>
      <c r="B50" s="211">
        <v>322</v>
      </c>
      <c r="C50" s="211" t="s">
        <v>195</v>
      </c>
      <c r="D50" s="211">
        <v>502023852</v>
      </c>
      <c r="E50" s="211">
        <v>1060</v>
      </c>
      <c r="G50" s="211">
        <v>1004</v>
      </c>
      <c r="I50" s="211" t="s">
        <v>3274</v>
      </c>
      <c r="J50" s="212" t="s">
        <v>638</v>
      </c>
      <c r="K50" s="211" t="s">
        <v>524</v>
      </c>
      <c r="L50" s="211" t="s">
        <v>3330</v>
      </c>
      <c r="AD50" s="213"/>
    </row>
    <row r="51" spans="1:30" s="211" customFormat="1" x14ac:dyDescent="0.25">
      <c r="A51" s="211" t="s">
        <v>117</v>
      </c>
      <c r="B51" s="211">
        <v>323</v>
      </c>
      <c r="C51" s="211" t="s">
        <v>196</v>
      </c>
      <c r="D51" s="211">
        <v>502026271</v>
      </c>
      <c r="E51" s="211">
        <v>1060</v>
      </c>
      <c r="F51" s="211">
        <v>1242</v>
      </c>
      <c r="G51" s="211">
        <v>1004</v>
      </c>
      <c r="I51" s="211" t="s">
        <v>3607</v>
      </c>
      <c r="J51" s="212" t="s">
        <v>638</v>
      </c>
      <c r="K51" s="211" t="s">
        <v>524</v>
      </c>
      <c r="L51" s="211" t="s">
        <v>3688</v>
      </c>
      <c r="AD51" s="213"/>
    </row>
    <row r="52" spans="1:30" s="211" customFormat="1" x14ac:dyDescent="0.25">
      <c r="A52" s="211" t="s">
        <v>117</v>
      </c>
      <c r="B52" s="211">
        <v>324</v>
      </c>
      <c r="C52" s="211" t="s">
        <v>197</v>
      </c>
      <c r="D52" s="211">
        <v>191964126</v>
      </c>
      <c r="E52" s="211">
        <v>1080</v>
      </c>
      <c r="F52" s="211">
        <v>1274</v>
      </c>
      <c r="G52" s="211">
        <v>1004</v>
      </c>
      <c r="I52" s="211" t="s">
        <v>640</v>
      </c>
      <c r="J52" s="212" t="s">
        <v>638</v>
      </c>
      <c r="K52" s="211" t="s">
        <v>524</v>
      </c>
      <c r="L52" s="211" t="s">
        <v>835</v>
      </c>
      <c r="AD52" s="213"/>
    </row>
    <row r="53" spans="1:30" s="211" customFormat="1" x14ac:dyDescent="0.25">
      <c r="A53" s="211" t="s">
        <v>117</v>
      </c>
      <c r="B53" s="211">
        <v>326</v>
      </c>
      <c r="C53" s="211" t="s">
        <v>199</v>
      </c>
      <c r="D53" s="211">
        <v>191888754</v>
      </c>
      <c r="E53" s="211">
        <v>1080</v>
      </c>
      <c r="F53" s="211">
        <v>1252</v>
      </c>
      <c r="G53" s="211">
        <v>1004</v>
      </c>
      <c r="I53" s="211" t="s">
        <v>1795</v>
      </c>
      <c r="J53" s="212" t="s">
        <v>638</v>
      </c>
      <c r="K53" s="211" t="s">
        <v>639</v>
      </c>
      <c r="L53" s="211" t="s">
        <v>1823</v>
      </c>
      <c r="AD53" s="213"/>
    </row>
    <row r="54" spans="1:30" s="211" customFormat="1" x14ac:dyDescent="0.25">
      <c r="A54" s="211" t="s">
        <v>117</v>
      </c>
      <c r="B54" s="211">
        <v>326</v>
      </c>
      <c r="C54" s="211" t="s">
        <v>199</v>
      </c>
      <c r="D54" s="211">
        <v>191986824</v>
      </c>
      <c r="E54" s="211">
        <v>1060</v>
      </c>
      <c r="F54" s="211">
        <v>1242</v>
      </c>
      <c r="G54" s="211">
        <v>1004</v>
      </c>
      <c r="I54" s="211" t="s">
        <v>1796</v>
      </c>
      <c r="J54" s="212" t="s">
        <v>638</v>
      </c>
      <c r="K54" s="211" t="s">
        <v>524</v>
      </c>
      <c r="L54" s="211" t="s">
        <v>1815</v>
      </c>
      <c r="AD54" s="213"/>
    </row>
    <row r="55" spans="1:30" s="211" customFormat="1" x14ac:dyDescent="0.25">
      <c r="A55" s="211" t="s">
        <v>117</v>
      </c>
      <c r="B55" s="211">
        <v>326</v>
      </c>
      <c r="C55" s="211" t="s">
        <v>199</v>
      </c>
      <c r="D55" s="211">
        <v>192033487</v>
      </c>
      <c r="E55" s="211">
        <v>1080</v>
      </c>
      <c r="F55" s="211">
        <v>1271</v>
      </c>
      <c r="G55" s="211">
        <v>1004</v>
      </c>
      <c r="I55" s="211" t="s">
        <v>2508</v>
      </c>
      <c r="J55" s="212" t="s">
        <v>638</v>
      </c>
      <c r="K55" s="211" t="s">
        <v>526</v>
      </c>
      <c r="L55" s="211" t="s">
        <v>2774</v>
      </c>
      <c r="AD55" s="213"/>
    </row>
    <row r="56" spans="1:30" s="211" customFormat="1" x14ac:dyDescent="0.25">
      <c r="A56" s="211" t="s">
        <v>117</v>
      </c>
      <c r="B56" s="211">
        <v>326</v>
      </c>
      <c r="C56" s="211" t="s">
        <v>199</v>
      </c>
      <c r="D56" s="211">
        <v>192033488</v>
      </c>
      <c r="E56" s="211">
        <v>1080</v>
      </c>
      <c r="F56" s="211">
        <v>1271</v>
      </c>
      <c r="G56" s="211">
        <v>1004</v>
      </c>
      <c r="I56" s="211" t="s">
        <v>2509</v>
      </c>
      <c r="J56" s="212" t="s">
        <v>638</v>
      </c>
      <c r="K56" s="211" t="s">
        <v>526</v>
      </c>
      <c r="L56" s="211" t="s">
        <v>2775</v>
      </c>
      <c r="AD56" s="213"/>
    </row>
    <row r="57" spans="1:30" s="211" customFormat="1" x14ac:dyDescent="0.25">
      <c r="A57" s="211" t="s">
        <v>117</v>
      </c>
      <c r="B57" s="211">
        <v>326</v>
      </c>
      <c r="C57" s="211" t="s">
        <v>199</v>
      </c>
      <c r="D57" s="211">
        <v>192033494</v>
      </c>
      <c r="E57" s="211">
        <v>1060</v>
      </c>
      <c r="F57" s="211">
        <v>1271</v>
      </c>
      <c r="G57" s="211">
        <v>1004</v>
      </c>
      <c r="I57" s="211" t="s">
        <v>2510</v>
      </c>
      <c r="J57" s="212" t="s">
        <v>638</v>
      </c>
      <c r="K57" s="211" t="s">
        <v>524</v>
      </c>
      <c r="L57" s="211" t="s">
        <v>2535</v>
      </c>
      <c r="AD57" s="213"/>
    </row>
    <row r="58" spans="1:30" s="211" customFormat="1" x14ac:dyDescent="0.25">
      <c r="A58" s="211" t="s">
        <v>117</v>
      </c>
      <c r="B58" s="211">
        <v>329</v>
      </c>
      <c r="C58" s="211" t="s">
        <v>200</v>
      </c>
      <c r="D58" s="211">
        <v>191789894</v>
      </c>
      <c r="E58" s="211">
        <v>1060</v>
      </c>
      <c r="F58" s="211">
        <v>1274</v>
      </c>
      <c r="G58" s="211">
        <v>1004</v>
      </c>
      <c r="I58" s="211" t="s">
        <v>2597</v>
      </c>
      <c r="J58" s="212" t="s">
        <v>638</v>
      </c>
      <c r="K58" s="211" t="s">
        <v>639</v>
      </c>
      <c r="L58" s="211" t="s">
        <v>2783</v>
      </c>
      <c r="AD58" s="213"/>
    </row>
    <row r="59" spans="1:30" s="211" customFormat="1" x14ac:dyDescent="0.25">
      <c r="A59" s="211" t="s">
        <v>117</v>
      </c>
      <c r="B59" s="211">
        <v>329</v>
      </c>
      <c r="C59" s="211" t="s">
        <v>200</v>
      </c>
      <c r="D59" s="211">
        <v>191975070</v>
      </c>
      <c r="E59" s="211">
        <v>1060</v>
      </c>
      <c r="F59" s="211">
        <v>1271</v>
      </c>
      <c r="G59" s="211">
        <v>1004</v>
      </c>
      <c r="I59" s="211" t="s">
        <v>787</v>
      </c>
      <c r="J59" s="212" t="s">
        <v>638</v>
      </c>
      <c r="K59" s="211" t="s">
        <v>524</v>
      </c>
      <c r="L59" s="211" t="s">
        <v>836</v>
      </c>
      <c r="AD59" s="213"/>
    </row>
    <row r="60" spans="1:30" s="211" customFormat="1" x14ac:dyDescent="0.25">
      <c r="A60" s="211" t="s">
        <v>117</v>
      </c>
      <c r="B60" s="211">
        <v>329</v>
      </c>
      <c r="C60" s="211" t="s">
        <v>200</v>
      </c>
      <c r="D60" s="211">
        <v>191986720</v>
      </c>
      <c r="E60" s="211">
        <v>1080</v>
      </c>
      <c r="F60" s="211">
        <v>1252</v>
      </c>
      <c r="G60" s="211">
        <v>1004</v>
      </c>
      <c r="I60" s="211" t="s">
        <v>2886</v>
      </c>
      <c r="J60" s="212" t="s">
        <v>638</v>
      </c>
      <c r="K60" s="211" t="s">
        <v>524</v>
      </c>
      <c r="L60" s="211" t="s">
        <v>2908</v>
      </c>
      <c r="AD60" s="213"/>
    </row>
    <row r="61" spans="1:30" s="211" customFormat="1" x14ac:dyDescent="0.25">
      <c r="A61" s="211" t="s">
        <v>117</v>
      </c>
      <c r="B61" s="211">
        <v>329</v>
      </c>
      <c r="C61" s="211" t="s">
        <v>200</v>
      </c>
      <c r="D61" s="211">
        <v>191996526</v>
      </c>
      <c r="E61" s="211">
        <v>1060</v>
      </c>
      <c r="F61" s="211">
        <v>1252</v>
      </c>
      <c r="G61" s="211">
        <v>1003</v>
      </c>
      <c r="I61" s="211" t="s">
        <v>1594</v>
      </c>
      <c r="J61" s="212" t="s">
        <v>638</v>
      </c>
      <c r="K61" s="211" t="s">
        <v>524</v>
      </c>
      <c r="L61" s="211" t="s">
        <v>1607</v>
      </c>
      <c r="AD61" s="213"/>
    </row>
    <row r="62" spans="1:30" s="211" customFormat="1" x14ac:dyDescent="0.25">
      <c r="A62" s="211" t="s">
        <v>117</v>
      </c>
      <c r="B62" s="211">
        <v>331</v>
      </c>
      <c r="C62" s="211" t="s">
        <v>201</v>
      </c>
      <c r="D62" s="211">
        <v>1263129</v>
      </c>
      <c r="E62" s="211">
        <v>1030</v>
      </c>
      <c r="F62" s="211">
        <v>1122</v>
      </c>
      <c r="G62" s="211">
        <v>1004</v>
      </c>
      <c r="I62" s="211" t="s">
        <v>2093</v>
      </c>
      <c r="J62" s="212" t="s">
        <v>638</v>
      </c>
      <c r="K62" s="211" t="s">
        <v>524</v>
      </c>
      <c r="L62" s="211" t="s">
        <v>2101</v>
      </c>
      <c r="AD62" s="213"/>
    </row>
    <row r="63" spans="1:30" s="211" customFormat="1" x14ac:dyDescent="0.25">
      <c r="A63" s="211" t="s">
        <v>117</v>
      </c>
      <c r="B63" s="211">
        <v>331</v>
      </c>
      <c r="C63" s="211" t="s">
        <v>201</v>
      </c>
      <c r="D63" s="211">
        <v>9013364</v>
      </c>
      <c r="E63" s="211">
        <v>1060</v>
      </c>
      <c r="G63" s="211">
        <v>1004</v>
      </c>
      <c r="I63" s="211" t="s">
        <v>2094</v>
      </c>
      <c r="J63" s="212" t="s">
        <v>638</v>
      </c>
      <c r="K63" s="211" t="s">
        <v>524</v>
      </c>
      <c r="L63" s="211" t="s">
        <v>2102</v>
      </c>
      <c r="AD63" s="213"/>
    </row>
    <row r="64" spans="1:30" s="211" customFormat="1" x14ac:dyDescent="0.25">
      <c r="A64" s="211" t="s">
        <v>117</v>
      </c>
      <c r="B64" s="211">
        <v>331</v>
      </c>
      <c r="C64" s="211" t="s">
        <v>201</v>
      </c>
      <c r="D64" s="211">
        <v>9013365</v>
      </c>
      <c r="E64" s="211">
        <v>1060</v>
      </c>
      <c r="G64" s="211">
        <v>1004</v>
      </c>
      <c r="I64" s="211" t="s">
        <v>1437</v>
      </c>
      <c r="J64" s="212" t="s">
        <v>638</v>
      </c>
      <c r="K64" s="211" t="s">
        <v>639</v>
      </c>
      <c r="L64" s="211" t="s">
        <v>1476</v>
      </c>
      <c r="AD64" s="213"/>
    </row>
    <row r="65" spans="1:30" s="211" customFormat="1" x14ac:dyDescent="0.25">
      <c r="A65" s="211" t="s">
        <v>117</v>
      </c>
      <c r="B65" s="211">
        <v>331</v>
      </c>
      <c r="C65" s="211" t="s">
        <v>201</v>
      </c>
      <c r="D65" s="211">
        <v>190233628</v>
      </c>
      <c r="E65" s="211">
        <v>1060</v>
      </c>
      <c r="F65" s="211">
        <v>1252</v>
      </c>
      <c r="G65" s="211">
        <v>1004</v>
      </c>
      <c r="I65" s="211" t="s">
        <v>2095</v>
      </c>
      <c r="J65" s="212" t="s">
        <v>638</v>
      </c>
      <c r="K65" s="211" t="s">
        <v>524</v>
      </c>
      <c r="L65" s="211" t="s">
        <v>2103</v>
      </c>
      <c r="AD65" s="213"/>
    </row>
    <row r="66" spans="1:30" s="211" customFormat="1" x14ac:dyDescent="0.25">
      <c r="A66" s="211" t="s">
        <v>117</v>
      </c>
      <c r="B66" s="211">
        <v>331</v>
      </c>
      <c r="C66" s="211" t="s">
        <v>201</v>
      </c>
      <c r="D66" s="211">
        <v>190542668</v>
      </c>
      <c r="E66" s="211">
        <v>1080</v>
      </c>
      <c r="F66" s="211">
        <v>1274</v>
      </c>
      <c r="G66" s="211">
        <v>1004</v>
      </c>
      <c r="I66" s="211" t="s">
        <v>2215</v>
      </c>
      <c r="J66" s="212" t="s">
        <v>638</v>
      </c>
      <c r="K66" s="211" t="s">
        <v>639</v>
      </c>
      <c r="L66" s="211" t="s">
        <v>2222</v>
      </c>
      <c r="AD66" s="213"/>
    </row>
    <row r="67" spans="1:30" s="211" customFormat="1" x14ac:dyDescent="0.25">
      <c r="A67" s="211" t="s">
        <v>117</v>
      </c>
      <c r="B67" s="211">
        <v>331</v>
      </c>
      <c r="C67" s="211" t="s">
        <v>201</v>
      </c>
      <c r="D67" s="211">
        <v>191972671</v>
      </c>
      <c r="E67" s="211">
        <v>1020</v>
      </c>
      <c r="F67" s="211">
        <v>1110</v>
      </c>
      <c r="G67" s="211">
        <v>1004</v>
      </c>
      <c r="I67" s="211" t="s">
        <v>2254</v>
      </c>
      <c r="J67" s="212" t="s">
        <v>638</v>
      </c>
      <c r="K67" s="211" t="s">
        <v>639</v>
      </c>
      <c r="L67" s="211" t="s">
        <v>2272</v>
      </c>
      <c r="AD67" s="213"/>
    </row>
    <row r="68" spans="1:30" s="211" customFormat="1" x14ac:dyDescent="0.25">
      <c r="A68" s="211" t="s">
        <v>117</v>
      </c>
      <c r="B68" s="211">
        <v>331</v>
      </c>
      <c r="C68" s="211" t="s">
        <v>201</v>
      </c>
      <c r="D68" s="211">
        <v>191996661</v>
      </c>
      <c r="E68" s="211">
        <v>1020</v>
      </c>
      <c r="F68" s="211">
        <v>1110</v>
      </c>
      <c r="G68" s="211">
        <v>1004</v>
      </c>
      <c r="I68" s="211" t="s">
        <v>3020</v>
      </c>
      <c r="J68" s="212" t="s">
        <v>638</v>
      </c>
      <c r="K68" s="211" t="s">
        <v>524</v>
      </c>
      <c r="L68" s="211" t="s">
        <v>3105</v>
      </c>
      <c r="AD68" s="213"/>
    </row>
    <row r="69" spans="1:30" s="211" customFormat="1" x14ac:dyDescent="0.25">
      <c r="A69" s="211" t="s">
        <v>117</v>
      </c>
      <c r="B69" s="211">
        <v>331</v>
      </c>
      <c r="C69" s="211" t="s">
        <v>201</v>
      </c>
      <c r="D69" s="211">
        <v>504058825</v>
      </c>
      <c r="E69" s="211">
        <v>1080</v>
      </c>
      <c r="G69" s="211">
        <v>1004</v>
      </c>
      <c r="I69" s="211" t="s">
        <v>2674</v>
      </c>
      <c r="J69" s="212" t="s">
        <v>638</v>
      </c>
      <c r="K69" s="211" t="s">
        <v>524</v>
      </c>
      <c r="L69" s="211" t="s">
        <v>2694</v>
      </c>
      <c r="AD69" s="213"/>
    </row>
    <row r="70" spans="1:30" s="211" customFormat="1" x14ac:dyDescent="0.25">
      <c r="A70" s="211" t="s">
        <v>117</v>
      </c>
      <c r="B70" s="211">
        <v>332</v>
      </c>
      <c r="C70" s="211" t="s">
        <v>202</v>
      </c>
      <c r="D70" s="211">
        <v>191887926</v>
      </c>
      <c r="E70" s="211">
        <v>1060</v>
      </c>
      <c r="F70" s="211">
        <v>1242</v>
      </c>
      <c r="G70" s="211">
        <v>1004</v>
      </c>
      <c r="I70" s="211" t="s">
        <v>2182</v>
      </c>
      <c r="J70" s="212" t="s">
        <v>638</v>
      </c>
      <c r="K70" s="211" t="s">
        <v>524</v>
      </c>
      <c r="L70" s="211" t="s">
        <v>2202</v>
      </c>
      <c r="AD70" s="213"/>
    </row>
    <row r="71" spans="1:30" s="211" customFormat="1" x14ac:dyDescent="0.25">
      <c r="A71" s="211" t="s">
        <v>117</v>
      </c>
      <c r="B71" s="211">
        <v>332</v>
      </c>
      <c r="C71" s="211" t="s">
        <v>202</v>
      </c>
      <c r="D71" s="211">
        <v>191911340</v>
      </c>
      <c r="E71" s="211">
        <v>1060</v>
      </c>
      <c r="F71" s="211">
        <v>1242</v>
      </c>
      <c r="G71" s="211">
        <v>1004</v>
      </c>
      <c r="I71" s="211" t="s">
        <v>641</v>
      </c>
      <c r="J71" s="212" t="s">
        <v>638</v>
      </c>
      <c r="K71" s="211" t="s">
        <v>524</v>
      </c>
      <c r="L71" s="211" t="s">
        <v>837</v>
      </c>
      <c r="AD71" s="213"/>
    </row>
    <row r="72" spans="1:30" s="211" customFormat="1" x14ac:dyDescent="0.25">
      <c r="A72" s="211" t="s">
        <v>117</v>
      </c>
      <c r="B72" s="211">
        <v>332</v>
      </c>
      <c r="C72" s="211" t="s">
        <v>202</v>
      </c>
      <c r="D72" s="211">
        <v>191966543</v>
      </c>
      <c r="E72" s="211">
        <v>1030</v>
      </c>
      <c r="F72" s="211">
        <v>1110</v>
      </c>
      <c r="G72" s="211">
        <v>1004</v>
      </c>
      <c r="I72" s="211" t="s">
        <v>642</v>
      </c>
      <c r="J72" s="212" t="s">
        <v>638</v>
      </c>
      <c r="K72" s="211" t="s">
        <v>639</v>
      </c>
      <c r="L72" s="211" t="s">
        <v>908</v>
      </c>
      <c r="AD72" s="213"/>
    </row>
    <row r="73" spans="1:30" s="211" customFormat="1" x14ac:dyDescent="0.25">
      <c r="A73" s="211" t="s">
        <v>117</v>
      </c>
      <c r="B73" s="211">
        <v>332</v>
      </c>
      <c r="C73" s="211" t="s">
        <v>202</v>
      </c>
      <c r="D73" s="211">
        <v>191988336</v>
      </c>
      <c r="E73" s="211">
        <v>1060</v>
      </c>
      <c r="F73" s="211">
        <v>1252</v>
      </c>
      <c r="G73" s="211">
        <v>1004</v>
      </c>
      <c r="I73" s="211" t="s">
        <v>2786</v>
      </c>
      <c r="J73" s="212" t="s">
        <v>638</v>
      </c>
      <c r="K73" s="211" t="s">
        <v>639</v>
      </c>
      <c r="L73" s="211" t="s">
        <v>2840</v>
      </c>
      <c r="AD73" s="213"/>
    </row>
    <row r="74" spans="1:30" s="211" customFormat="1" x14ac:dyDescent="0.25">
      <c r="A74" s="211" t="s">
        <v>117</v>
      </c>
      <c r="B74" s="211">
        <v>332</v>
      </c>
      <c r="C74" s="211" t="s">
        <v>202</v>
      </c>
      <c r="D74" s="211">
        <v>504068059</v>
      </c>
      <c r="E74" s="211">
        <v>1060</v>
      </c>
      <c r="G74" s="211">
        <v>1004</v>
      </c>
      <c r="I74" s="211" t="s">
        <v>2787</v>
      </c>
      <c r="J74" s="212" t="s">
        <v>638</v>
      </c>
      <c r="K74" s="211" t="s">
        <v>524</v>
      </c>
      <c r="L74" s="211" t="s">
        <v>2821</v>
      </c>
      <c r="AD74" s="213"/>
    </row>
    <row r="75" spans="1:30" s="211" customFormat="1" x14ac:dyDescent="0.25">
      <c r="A75" s="211" t="s">
        <v>117</v>
      </c>
      <c r="B75" s="211">
        <v>332</v>
      </c>
      <c r="C75" s="211" t="s">
        <v>202</v>
      </c>
      <c r="D75" s="211">
        <v>504068756</v>
      </c>
      <c r="E75" s="211">
        <v>1060</v>
      </c>
      <c r="G75" s="211">
        <v>1004</v>
      </c>
      <c r="I75" s="211" t="s">
        <v>2643</v>
      </c>
      <c r="J75" s="212" t="s">
        <v>638</v>
      </c>
      <c r="K75" s="211" t="s">
        <v>639</v>
      </c>
      <c r="L75" s="211" t="s">
        <v>2665</v>
      </c>
      <c r="AD75" s="213"/>
    </row>
    <row r="76" spans="1:30" s="211" customFormat="1" x14ac:dyDescent="0.25">
      <c r="A76" s="211" t="s">
        <v>117</v>
      </c>
      <c r="B76" s="211">
        <v>333</v>
      </c>
      <c r="C76" s="211" t="s">
        <v>203</v>
      </c>
      <c r="D76" s="211">
        <v>192004502</v>
      </c>
      <c r="E76" s="211">
        <v>1060</v>
      </c>
      <c r="F76" s="211">
        <v>1274</v>
      </c>
      <c r="G76" s="211">
        <v>1004</v>
      </c>
      <c r="I76" s="211" t="s">
        <v>2511</v>
      </c>
      <c r="J76" s="212" t="s">
        <v>638</v>
      </c>
      <c r="K76" s="211" t="s">
        <v>524</v>
      </c>
      <c r="L76" s="211" t="s">
        <v>2536</v>
      </c>
      <c r="AD76" s="213"/>
    </row>
    <row r="77" spans="1:30" s="211" customFormat="1" x14ac:dyDescent="0.25">
      <c r="A77" s="211" t="s">
        <v>117</v>
      </c>
      <c r="B77" s="211">
        <v>336</v>
      </c>
      <c r="C77" s="211" t="s">
        <v>205</v>
      </c>
      <c r="D77" s="211">
        <v>191960333</v>
      </c>
      <c r="E77" s="211">
        <v>1060</v>
      </c>
      <c r="F77" s="211">
        <v>1271</v>
      </c>
      <c r="G77" s="211">
        <v>1004</v>
      </c>
      <c r="I77" s="211" t="s">
        <v>1839</v>
      </c>
      <c r="J77" s="212" t="s">
        <v>638</v>
      </c>
      <c r="K77" s="211" t="s">
        <v>524</v>
      </c>
      <c r="L77" s="211" t="s">
        <v>1880</v>
      </c>
      <c r="AD77" s="213"/>
    </row>
    <row r="78" spans="1:30" s="211" customFormat="1" x14ac:dyDescent="0.25">
      <c r="A78" s="211" t="s">
        <v>117</v>
      </c>
      <c r="B78" s="211">
        <v>336</v>
      </c>
      <c r="C78" s="211" t="s">
        <v>205</v>
      </c>
      <c r="D78" s="211">
        <v>191960334</v>
      </c>
      <c r="E78" s="211">
        <v>1060</v>
      </c>
      <c r="F78" s="211">
        <v>1271</v>
      </c>
      <c r="G78" s="211">
        <v>1004</v>
      </c>
      <c r="I78" s="211" t="s">
        <v>1840</v>
      </c>
      <c r="J78" s="212" t="s">
        <v>638</v>
      </c>
      <c r="K78" s="211" t="s">
        <v>524</v>
      </c>
      <c r="L78" s="211" t="s">
        <v>1881</v>
      </c>
      <c r="AD78" s="213"/>
    </row>
    <row r="79" spans="1:30" s="211" customFormat="1" x14ac:dyDescent="0.25">
      <c r="A79" s="211" t="s">
        <v>117</v>
      </c>
      <c r="B79" s="211">
        <v>337</v>
      </c>
      <c r="C79" s="211" t="s">
        <v>206</v>
      </c>
      <c r="D79" s="211">
        <v>191949121</v>
      </c>
      <c r="E79" s="211">
        <v>1060</v>
      </c>
      <c r="F79" s="211">
        <v>1242</v>
      </c>
      <c r="G79" s="211">
        <v>1004</v>
      </c>
      <c r="I79" s="211" t="s">
        <v>1841</v>
      </c>
      <c r="J79" s="212" t="s">
        <v>638</v>
      </c>
      <c r="K79" s="211" t="s">
        <v>524</v>
      </c>
      <c r="L79" s="211" t="s">
        <v>1882</v>
      </c>
      <c r="AD79" s="213"/>
    </row>
    <row r="80" spans="1:30" s="211" customFormat="1" x14ac:dyDescent="0.25">
      <c r="A80" s="211" t="s">
        <v>117</v>
      </c>
      <c r="B80" s="211">
        <v>337</v>
      </c>
      <c r="C80" s="211" t="s">
        <v>206</v>
      </c>
      <c r="D80" s="211">
        <v>191956433</v>
      </c>
      <c r="E80" s="211">
        <v>1060</v>
      </c>
      <c r="F80" s="211">
        <v>1274</v>
      </c>
      <c r="G80" s="211">
        <v>1004</v>
      </c>
      <c r="I80" s="211" t="s">
        <v>1842</v>
      </c>
      <c r="J80" s="212" t="s">
        <v>638</v>
      </c>
      <c r="K80" s="211" t="s">
        <v>524</v>
      </c>
      <c r="L80" s="211" t="s">
        <v>1883</v>
      </c>
      <c r="AD80" s="213"/>
    </row>
    <row r="81" spans="1:30" s="211" customFormat="1" x14ac:dyDescent="0.25">
      <c r="A81" s="211" t="s">
        <v>117</v>
      </c>
      <c r="B81" s="211">
        <v>337</v>
      </c>
      <c r="C81" s="211" t="s">
        <v>206</v>
      </c>
      <c r="D81" s="211">
        <v>191960328</v>
      </c>
      <c r="E81" s="211">
        <v>1060</v>
      </c>
      <c r="F81" s="211">
        <v>1242</v>
      </c>
      <c r="G81" s="211">
        <v>1004</v>
      </c>
      <c r="I81" s="211" t="s">
        <v>2156</v>
      </c>
      <c r="J81" s="212" t="s">
        <v>638</v>
      </c>
      <c r="K81" s="211" t="s">
        <v>524</v>
      </c>
      <c r="L81" s="211" t="s">
        <v>2166</v>
      </c>
      <c r="AD81" s="213"/>
    </row>
    <row r="82" spans="1:30" s="211" customFormat="1" x14ac:dyDescent="0.25">
      <c r="A82" s="211" t="s">
        <v>117</v>
      </c>
      <c r="B82" s="211">
        <v>337</v>
      </c>
      <c r="C82" s="211" t="s">
        <v>206</v>
      </c>
      <c r="D82" s="211">
        <v>191966041</v>
      </c>
      <c r="E82" s="211">
        <v>1080</v>
      </c>
      <c r="F82" s="211">
        <v>1242</v>
      </c>
      <c r="G82" s="211">
        <v>1004</v>
      </c>
      <c r="I82" s="211" t="s">
        <v>2148</v>
      </c>
      <c r="J82" s="212" t="s">
        <v>638</v>
      </c>
      <c r="K82" s="211" t="s">
        <v>639</v>
      </c>
      <c r="L82" s="211" t="s">
        <v>2153</v>
      </c>
      <c r="AD82" s="213"/>
    </row>
    <row r="83" spans="1:30" s="211" customFormat="1" x14ac:dyDescent="0.25">
      <c r="A83" s="211" t="s">
        <v>117</v>
      </c>
      <c r="B83" s="211">
        <v>337</v>
      </c>
      <c r="C83" s="211" t="s">
        <v>206</v>
      </c>
      <c r="D83" s="211">
        <v>191981709</v>
      </c>
      <c r="E83" s="211">
        <v>1060</v>
      </c>
      <c r="F83" s="211">
        <v>1242</v>
      </c>
      <c r="G83" s="211">
        <v>1004</v>
      </c>
      <c r="I83" s="211" t="s">
        <v>2238</v>
      </c>
      <c r="J83" s="212" t="s">
        <v>638</v>
      </c>
      <c r="K83" s="211" t="s">
        <v>639</v>
      </c>
      <c r="L83" s="211" t="s">
        <v>2252</v>
      </c>
      <c r="AD83" s="213"/>
    </row>
    <row r="84" spans="1:30" s="211" customFormat="1" x14ac:dyDescent="0.25">
      <c r="A84" s="211" t="s">
        <v>117</v>
      </c>
      <c r="B84" s="211">
        <v>337</v>
      </c>
      <c r="C84" s="211" t="s">
        <v>206</v>
      </c>
      <c r="D84" s="211">
        <v>191991195</v>
      </c>
      <c r="E84" s="211">
        <v>1060</v>
      </c>
      <c r="F84" s="211">
        <v>1242</v>
      </c>
      <c r="G84" s="211">
        <v>1003</v>
      </c>
      <c r="I84" s="211" t="s">
        <v>2216</v>
      </c>
      <c r="J84" s="212" t="s">
        <v>638</v>
      </c>
      <c r="K84" s="211" t="s">
        <v>524</v>
      </c>
      <c r="L84" s="211" t="s">
        <v>2220</v>
      </c>
      <c r="AD84" s="213"/>
    </row>
    <row r="85" spans="1:30" s="211" customFormat="1" x14ac:dyDescent="0.25">
      <c r="A85" s="211" t="s">
        <v>117</v>
      </c>
      <c r="B85" s="211">
        <v>337</v>
      </c>
      <c r="C85" s="211" t="s">
        <v>206</v>
      </c>
      <c r="D85" s="211">
        <v>192002530</v>
      </c>
      <c r="E85" s="211">
        <v>1060</v>
      </c>
      <c r="F85" s="211">
        <v>1252</v>
      </c>
      <c r="G85" s="211">
        <v>1003</v>
      </c>
      <c r="I85" s="211" t="s">
        <v>1984</v>
      </c>
      <c r="J85" s="212" t="s">
        <v>638</v>
      </c>
      <c r="K85" s="211" t="s">
        <v>524</v>
      </c>
      <c r="L85" s="211" t="s">
        <v>2015</v>
      </c>
      <c r="AD85" s="213"/>
    </row>
    <row r="86" spans="1:30" s="211" customFormat="1" x14ac:dyDescent="0.25">
      <c r="A86" s="211" t="s">
        <v>117</v>
      </c>
      <c r="B86" s="211">
        <v>337</v>
      </c>
      <c r="C86" s="211" t="s">
        <v>206</v>
      </c>
      <c r="D86" s="211">
        <v>192002599</v>
      </c>
      <c r="E86" s="211">
        <v>1080</v>
      </c>
      <c r="F86" s="211">
        <v>1242</v>
      </c>
      <c r="G86" s="211">
        <v>1003</v>
      </c>
      <c r="I86" s="211" t="s">
        <v>1843</v>
      </c>
      <c r="J86" s="212" t="s">
        <v>638</v>
      </c>
      <c r="K86" s="211" t="s">
        <v>524</v>
      </c>
      <c r="L86" s="211" t="s">
        <v>1884</v>
      </c>
      <c r="AD86" s="213"/>
    </row>
    <row r="87" spans="1:30" s="211" customFormat="1" x14ac:dyDescent="0.25">
      <c r="A87" s="211" t="s">
        <v>117</v>
      </c>
      <c r="B87" s="211">
        <v>337</v>
      </c>
      <c r="C87" s="211" t="s">
        <v>206</v>
      </c>
      <c r="D87" s="211">
        <v>192007809</v>
      </c>
      <c r="E87" s="211">
        <v>1060</v>
      </c>
      <c r="F87" s="211">
        <v>1242</v>
      </c>
      <c r="G87" s="211">
        <v>1004</v>
      </c>
      <c r="I87" s="211" t="s">
        <v>2887</v>
      </c>
      <c r="J87" s="212" t="s">
        <v>638</v>
      </c>
      <c r="K87" s="211" t="s">
        <v>524</v>
      </c>
      <c r="L87" s="211" t="s">
        <v>2909</v>
      </c>
      <c r="AD87" s="213"/>
    </row>
    <row r="88" spans="1:30" s="211" customFormat="1" x14ac:dyDescent="0.25">
      <c r="A88" s="211" t="s">
        <v>117</v>
      </c>
      <c r="B88" s="211">
        <v>338</v>
      </c>
      <c r="C88" s="211" t="s">
        <v>207</v>
      </c>
      <c r="D88" s="211">
        <v>1265913</v>
      </c>
      <c r="E88" s="211">
        <v>1020</v>
      </c>
      <c r="F88" s="211">
        <v>1122</v>
      </c>
      <c r="G88" s="211">
        <v>1004</v>
      </c>
      <c r="I88" s="211" t="s">
        <v>1797</v>
      </c>
      <c r="J88" s="212" t="s">
        <v>638</v>
      </c>
      <c r="K88" s="211" t="s">
        <v>639</v>
      </c>
      <c r="L88" s="211" t="s">
        <v>1824</v>
      </c>
      <c r="AD88" s="213"/>
    </row>
    <row r="89" spans="1:30" s="211" customFormat="1" x14ac:dyDescent="0.25">
      <c r="A89" s="211" t="s">
        <v>117</v>
      </c>
      <c r="B89" s="211">
        <v>340</v>
      </c>
      <c r="C89" s="211" t="s">
        <v>209</v>
      </c>
      <c r="D89" s="211">
        <v>1266405</v>
      </c>
      <c r="E89" s="211">
        <v>1020</v>
      </c>
      <c r="F89" s="211">
        <v>1110</v>
      </c>
      <c r="G89" s="211">
        <v>1004</v>
      </c>
      <c r="I89" s="211" t="s">
        <v>3766</v>
      </c>
      <c r="J89" s="212" t="s">
        <v>638</v>
      </c>
      <c r="K89" s="211" t="s">
        <v>524</v>
      </c>
      <c r="L89" s="211" t="s">
        <v>3813</v>
      </c>
      <c r="AD89" s="213"/>
    </row>
    <row r="90" spans="1:30" s="211" customFormat="1" x14ac:dyDescent="0.25">
      <c r="A90" s="211" t="s">
        <v>117</v>
      </c>
      <c r="B90" s="211">
        <v>340</v>
      </c>
      <c r="C90" s="211" t="s">
        <v>209</v>
      </c>
      <c r="D90" s="211">
        <v>1266407</v>
      </c>
      <c r="E90" s="211">
        <v>1020</v>
      </c>
      <c r="F90" s="211">
        <v>1110</v>
      </c>
      <c r="G90" s="211">
        <v>1004</v>
      </c>
      <c r="I90" s="211" t="s">
        <v>3767</v>
      </c>
      <c r="J90" s="212" t="s">
        <v>638</v>
      </c>
      <c r="K90" s="211" t="s">
        <v>639</v>
      </c>
      <c r="L90" s="211" t="s">
        <v>3840</v>
      </c>
      <c r="AD90" s="213"/>
    </row>
    <row r="91" spans="1:30" s="211" customFormat="1" x14ac:dyDescent="0.25">
      <c r="A91" s="211" t="s">
        <v>117</v>
      </c>
      <c r="B91" s="211">
        <v>342</v>
      </c>
      <c r="C91" s="211" t="s">
        <v>211</v>
      </c>
      <c r="D91" s="211">
        <v>1266883</v>
      </c>
      <c r="E91" s="211">
        <v>1020</v>
      </c>
      <c r="F91" s="211">
        <v>1110</v>
      </c>
      <c r="G91" s="211">
        <v>1004</v>
      </c>
      <c r="I91" s="211" t="s">
        <v>3021</v>
      </c>
      <c r="J91" s="212" t="s">
        <v>638</v>
      </c>
      <c r="K91" s="211" t="s">
        <v>524</v>
      </c>
      <c r="L91" s="211" t="s">
        <v>3106</v>
      </c>
      <c r="AD91" s="213"/>
    </row>
    <row r="92" spans="1:30" s="211" customFormat="1" x14ac:dyDescent="0.25">
      <c r="A92" s="211" t="s">
        <v>117</v>
      </c>
      <c r="B92" s="211">
        <v>342</v>
      </c>
      <c r="C92" s="211" t="s">
        <v>211</v>
      </c>
      <c r="D92" s="211">
        <v>191865006</v>
      </c>
      <c r="E92" s="211">
        <v>1060</v>
      </c>
      <c r="F92" s="211">
        <v>1274</v>
      </c>
      <c r="G92" s="211">
        <v>1004</v>
      </c>
      <c r="I92" s="211" t="s">
        <v>1493</v>
      </c>
      <c r="J92" s="212" t="s">
        <v>638</v>
      </c>
      <c r="K92" s="211" t="s">
        <v>524</v>
      </c>
      <c r="L92" s="211" t="s">
        <v>1507</v>
      </c>
      <c r="AD92" s="213"/>
    </row>
    <row r="93" spans="1:30" s="211" customFormat="1" x14ac:dyDescent="0.25">
      <c r="A93" s="211" t="s">
        <v>117</v>
      </c>
      <c r="B93" s="211">
        <v>342</v>
      </c>
      <c r="C93" s="211" t="s">
        <v>211</v>
      </c>
      <c r="D93" s="211">
        <v>191885450</v>
      </c>
      <c r="E93" s="211">
        <v>1060</v>
      </c>
      <c r="F93" s="211">
        <v>1274</v>
      </c>
      <c r="G93" s="211">
        <v>1004</v>
      </c>
      <c r="I93" s="211" t="s">
        <v>2046</v>
      </c>
      <c r="J93" s="212" t="s">
        <v>638</v>
      </c>
      <c r="K93" s="211" t="s">
        <v>524</v>
      </c>
      <c r="L93" s="211" t="s">
        <v>2057</v>
      </c>
      <c r="AD93" s="213"/>
    </row>
    <row r="94" spans="1:30" s="211" customFormat="1" x14ac:dyDescent="0.25">
      <c r="A94" s="211" t="s">
        <v>117</v>
      </c>
      <c r="B94" s="211">
        <v>342</v>
      </c>
      <c r="C94" s="211" t="s">
        <v>211</v>
      </c>
      <c r="D94" s="211">
        <v>502134919</v>
      </c>
      <c r="E94" s="211">
        <v>1060</v>
      </c>
      <c r="G94" s="211">
        <v>1004</v>
      </c>
      <c r="I94" s="211" t="s">
        <v>3363</v>
      </c>
      <c r="J94" s="212" t="s">
        <v>638</v>
      </c>
      <c r="K94" s="211" t="s">
        <v>639</v>
      </c>
      <c r="L94" s="211" t="s">
        <v>3420</v>
      </c>
      <c r="AD94" s="213"/>
    </row>
    <row r="95" spans="1:30" s="211" customFormat="1" x14ac:dyDescent="0.25">
      <c r="A95" s="211" t="s">
        <v>117</v>
      </c>
      <c r="B95" s="211">
        <v>344</v>
      </c>
      <c r="C95" s="211" t="s">
        <v>212</v>
      </c>
      <c r="D95" s="211">
        <v>190761489</v>
      </c>
      <c r="E95" s="211">
        <v>1080</v>
      </c>
      <c r="F95" s="211">
        <v>1274</v>
      </c>
      <c r="G95" s="211">
        <v>1004</v>
      </c>
      <c r="I95" s="211" t="s">
        <v>1844</v>
      </c>
      <c r="J95" s="212" t="s">
        <v>638</v>
      </c>
      <c r="K95" s="211" t="s">
        <v>524</v>
      </c>
      <c r="L95" s="211" t="s">
        <v>1885</v>
      </c>
      <c r="AD95" s="213"/>
    </row>
    <row r="96" spans="1:30" s="211" customFormat="1" x14ac:dyDescent="0.25">
      <c r="A96" s="211" t="s">
        <v>117</v>
      </c>
      <c r="B96" s="211">
        <v>344</v>
      </c>
      <c r="C96" s="211" t="s">
        <v>212</v>
      </c>
      <c r="D96" s="211">
        <v>192005599</v>
      </c>
      <c r="E96" s="211">
        <v>1020</v>
      </c>
      <c r="F96" s="211">
        <v>1110</v>
      </c>
      <c r="G96" s="211">
        <v>1004</v>
      </c>
      <c r="I96" s="211" t="s">
        <v>1845</v>
      </c>
      <c r="J96" s="212" t="s">
        <v>638</v>
      </c>
      <c r="K96" s="211" t="s">
        <v>639</v>
      </c>
      <c r="L96" s="211" t="s">
        <v>1916</v>
      </c>
      <c r="AD96" s="213"/>
    </row>
    <row r="97" spans="1:30" s="211" customFormat="1" x14ac:dyDescent="0.25">
      <c r="A97" s="211" t="s">
        <v>117</v>
      </c>
      <c r="B97" s="211">
        <v>344</v>
      </c>
      <c r="C97" s="211" t="s">
        <v>212</v>
      </c>
      <c r="D97" s="211">
        <v>192039661</v>
      </c>
      <c r="E97" s="211">
        <v>1060</v>
      </c>
      <c r="F97" s="211">
        <v>1271</v>
      </c>
      <c r="G97" s="211">
        <v>1003</v>
      </c>
      <c r="I97" s="211" t="s">
        <v>2707</v>
      </c>
      <c r="J97" s="212" t="s">
        <v>638</v>
      </c>
      <c r="K97" s="211" t="s">
        <v>524</v>
      </c>
      <c r="L97" s="211" t="s">
        <v>2730</v>
      </c>
      <c r="AD97" s="213"/>
    </row>
    <row r="98" spans="1:30" s="211" customFormat="1" x14ac:dyDescent="0.25">
      <c r="A98" s="211" t="s">
        <v>117</v>
      </c>
      <c r="B98" s="211">
        <v>344</v>
      </c>
      <c r="C98" s="211" t="s">
        <v>212</v>
      </c>
      <c r="D98" s="211">
        <v>192039678</v>
      </c>
      <c r="E98" s="211">
        <v>1060</v>
      </c>
      <c r="F98" s="211">
        <v>1251</v>
      </c>
      <c r="G98" s="211">
        <v>1003</v>
      </c>
      <c r="I98" s="211" t="s">
        <v>2708</v>
      </c>
      <c r="J98" s="212" t="s">
        <v>638</v>
      </c>
      <c r="K98" s="211" t="s">
        <v>639</v>
      </c>
      <c r="L98" s="211" t="s">
        <v>2740</v>
      </c>
      <c r="AD98" s="213"/>
    </row>
    <row r="99" spans="1:30" s="211" customFormat="1" x14ac:dyDescent="0.25">
      <c r="A99" s="211" t="s">
        <v>117</v>
      </c>
      <c r="B99" s="211">
        <v>345</v>
      </c>
      <c r="C99" s="211" t="s">
        <v>213</v>
      </c>
      <c r="D99" s="211">
        <v>191999706</v>
      </c>
      <c r="E99" s="211">
        <v>1080</v>
      </c>
      <c r="F99" s="211">
        <v>1242</v>
      </c>
      <c r="G99" s="211">
        <v>1004</v>
      </c>
      <c r="I99" s="211" t="s">
        <v>2942</v>
      </c>
      <c r="J99" s="212" t="s">
        <v>638</v>
      </c>
      <c r="K99" s="211" t="s">
        <v>639</v>
      </c>
      <c r="L99" s="211" t="s">
        <v>2981</v>
      </c>
      <c r="AD99" s="213"/>
    </row>
    <row r="100" spans="1:30" s="211" customFormat="1" x14ac:dyDescent="0.25">
      <c r="A100" s="211" t="s">
        <v>117</v>
      </c>
      <c r="B100" s="211">
        <v>345</v>
      </c>
      <c r="C100" s="211" t="s">
        <v>213</v>
      </c>
      <c r="D100" s="211">
        <v>192028019</v>
      </c>
      <c r="E100" s="211">
        <v>1060</v>
      </c>
      <c r="F100" s="211">
        <v>1242</v>
      </c>
      <c r="G100" s="211">
        <v>1003</v>
      </c>
      <c r="I100" s="211" t="s">
        <v>2317</v>
      </c>
      <c r="J100" s="212" t="s">
        <v>638</v>
      </c>
      <c r="K100" s="211" t="s">
        <v>639</v>
      </c>
      <c r="L100" s="211" t="s">
        <v>2324</v>
      </c>
      <c r="AD100" s="213"/>
    </row>
    <row r="101" spans="1:30" s="211" customFormat="1" x14ac:dyDescent="0.25">
      <c r="A101" s="211" t="s">
        <v>117</v>
      </c>
      <c r="B101" s="211">
        <v>351</v>
      </c>
      <c r="C101" s="211" t="s">
        <v>116</v>
      </c>
      <c r="D101" s="211">
        <v>191990142</v>
      </c>
      <c r="E101" s="211">
        <v>1040</v>
      </c>
      <c r="G101" s="211">
        <v>1004</v>
      </c>
      <c r="I101" s="211" t="s">
        <v>959</v>
      </c>
      <c r="J101" s="212" t="s">
        <v>638</v>
      </c>
      <c r="K101" s="211" t="s">
        <v>526</v>
      </c>
      <c r="L101" s="211" t="s">
        <v>1458</v>
      </c>
      <c r="AD101" s="213"/>
    </row>
    <row r="102" spans="1:30" s="211" customFormat="1" x14ac:dyDescent="0.25">
      <c r="A102" s="211" t="s">
        <v>117</v>
      </c>
      <c r="B102" s="211">
        <v>351</v>
      </c>
      <c r="C102" s="211" t="s">
        <v>116</v>
      </c>
      <c r="D102" s="211">
        <v>191990273</v>
      </c>
      <c r="E102" s="211">
        <v>1040</v>
      </c>
      <c r="G102" s="211">
        <v>1004</v>
      </c>
      <c r="I102" s="211" t="s">
        <v>960</v>
      </c>
      <c r="J102" s="212" t="s">
        <v>638</v>
      </c>
      <c r="K102" s="211" t="s">
        <v>526</v>
      </c>
      <c r="L102" s="211" t="s">
        <v>1459</v>
      </c>
      <c r="AD102" s="213"/>
    </row>
    <row r="103" spans="1:30" s="211" customFormat="1" x14ac:dyDescent="0.25">
      <c r="A103" s="211" t="s">
        <v>117</v>
      </c>
      <c r="B103" s="211">
        <v>351</v>
      </c>
      <c r="C103" s="211" t="s">
        <v>116</v>
      </c>
      <c r="D103" s="211">
        <v>191993656</v>
      </c>
      <c r="E103" s="211">
        <v>1020</v>
      </c>
      <c r="F103" s="211">
        <v>1122</v>
      </c>
      <c r="G103" s="211">
        <v>1004</v>
      </c>
      <c r="I103" s="211" t="s">
        <v>1317</v>
      </c>
      <c r="J103" s="212" t="s">
        <v>638</v>
      </c>
      <c r="K103" s="211" t="s">
        <v>639</v>
      </c>
      <c r="L103" s="211" t="s">
        <v>1318</v>
      </c>
      <c r="AD103" s="213"/>
    </row>
    <row r="104" spans="1:30" s="211" customFormat="1" x14ac:dyDescent="0.25">
      <c r="A104" s="211" t="s">
        <v>117</v>
      </c>
      <c r="B104" s="211">
        <v>351</v>
      </c>
      <c r="C104" s="211" t="s">
        <v>116</v>
      </c>
      <c r="D104" s="211">
        <v>192044682</v>
      </c>
      <c r="E104" s="211">
        <v>1060</v>
      </c>
      <c r="F104" s="211">
        <v>1264</v>
      </c>
      <c r="G104" s="211">
        <v>1004</v>
      </c>
      <c r="I104" s="211" t="s">
        <v>2943</v>
      </c>
      <c r="J104" s="212" t="s">
        <v>638</v>
      </c>
      <c r="K104" s="211" t="s">
        <v>639</v>
      </c>
      <c r="L104" s="211" t="s">
        <v>2982</v>
      </c>
      <c r="AD104" s="213"/>
    </row>
    <row r="105" spans="1:30" s="211" customFormat="1" x14ac:dyDescent="0.25">
      <c r="A105" s="211" t="s">
        <v>117</v>
      </c>
      <c r="B105" s="211">
        <v>351</v>
      </c>
      <c r="C105" s="211" t="s">
        <v>116</v>
      </c>
      <c r="D105" s="211">
        <v>192045434</v>
      </c>
      <c r="E105" s="211">
        <v>1060</v>
      </c>
      <c r="F105" s="211">
        <v>1263</v>
      </c>
      <c r="G105" s="211">
        <v>1003</v>
      </c>
      <c r="I105" s="211" t="s">
        <v>2990</v>
      </c>
      <c r="J105" s="212" t="s">
        <v>638</v>
      </c>
      <c r="K105" s="211" t="s">
        <v>524</v>
      </c>
      <c r="L105" s="211" t="s">
        <v>3001</v>
      </c>
      <c r="AD105" s="213"/>
    </row>
    <row r="106" spans="1:30" s="211" customFormat="1" x14ac:dyDescent="0.25">
      <c r="A106" s="211" t="s">
        <v>117</v>
      </c>
      <c r="B106" s="211">
        <v>351</v>
      </c>
      <c r="C106" s="211" t="s">
        <v>116</v>
      </c>
      <c r="D106" s="211">
        <v>192046212</v>
      </c>
      <c r="E106" s="211">
        <v>1060</v>
      </c>
      <c r="F106" s="211">
        <v>1251</v>
      </c>
      <c r="G106" s="211">
        <v>1004</v>
      </c>
      <c r="I106" s="211" t="s">
        <v>3022</v>
      </c>
      <c r="J106" s="212" t="s">
        <v>638</v>
      </c>
      <c r="K106" s="211" t="s">
        <v>639</v>
      </c>
      <c r="L106" s="211" t="s">
        <v>3133</v>
      </c>
      <c r="AD106" s="213"/>
    </row>
    <row r="107" spans="1:30" s="211" customFormat="1" x14ac:dyDescent="0.25">
      <c r="A107" s="211" t="s">
        <v>117</v>
      </c>
      <c r="B107" s="211">
        <v>351</v>
      </c>
      <c r="C107" s="211" t="s">
        <v>116</v>
      </c>
      <c r="D107" s="211">
        <v>192048523</v>
      </c>
      <c r="E107" s="211">
        <v>1060</v>
      </c>
      <c r="F107" s="211">
        <v>1274</v>
      </c>
      <c r="G107" s="211">
        <v>1003</v>
      </c>
      <c r="I107" s="211" t="s">
        <v>3275</v>
      </c>
      <c r="J107" s="212" t="s">
        <v>638</v>
      </c>
      <c r="K107" s="211" t="s">
        <v>524</v>
      </c>
      <c r="L107" s="211" t="s">
        <v>3331</v>
      </c>
      <c r="AD107" s="213"/>
    </row>
    <row r="108" spans="1:30" s="211" customFormat="1" x14ac:dyDescent="0.25">
      <c r="A108" s="211" t="s">
        <v>117</v>
      </c>
      <c r="B108" s="211">
        <v>351</v>
      </c>
      <c r="C108" s="211" t="s">
        <v>116</v>
      </c>
      <c r="D108" s="211">
        <v>504008453</v>
      </c>
      <c r="E108" s="211">
        <v>1080</v>
      </c>
      <c r="G108" s="211">
        <v>1004</v>
      </c>
      <c r="I108" s="211" t="s">
        <v>3276</v>
      </c>
      <c r="J108" s="212" t="s">
        <v>638</v>
      </c>
      <c r="K108" s="211" t="s">
        <v>524</v>
      </c>
      <c r="L108" s="211" t="s">
        <v>3332</v>
      </c>
      <c r="AD108" s="213"/>
    </row>
    <row r="109" spans="1:30" s="211" customFormat="1" x14ac:dyDescent="0.25">
      <c r="A109" s="211" t="s">
        <v>117</v>
      </c>
      <c r="B109" s="211">
        <v>351</v>
      </c>
      <c r="C109" s="211" t="s">
        <v>116</v>
      </c>
      <c r="D109" s="211">
        <v>504008454</v>
      </c>
      <c r="E109" s="211">
        <v>1080</v>
      </c>
      <c r="G109" s="211">
        <v>1004</v>
      </c>
      <c r="I109" s="211" t="s">
        <v>3277</v>
      </c>
      <c r="J109" s="212" t="s">
        <v>638</v>
      </c>
      <c r="K109" s="211" t="s">
        <v>639</v>
      </c>
      <c r="L109" s="211" t="s">
        <v>3349</v>
      </c>
      <c r="AD109" s="213"/>
    </row>
    <row r="110" spans="1:30" s="211" customFormat="1" x14ac:dyDescent="0.25">
      <c r="A110" s="211" t="s">
        <v>117</v>
      </c>
      <c r="B110" s="211">
        <v>351</v>
      </c>
      <c r="C110" s="211" t="s">
        <v>116</v>
      </c>
      <c r="D110" s="211">
        <v>504008455</v>
      </c>
      <c r="E110" s="211">
        <v>1080</v>
      </c>
      <c r="G110" s="211">
        <v>1004</v>
      </c>
      <c r="I110" s="211" t="s">
        <v>3278</v>
      </c>
      <c r="J110" s="212" t="s">
        <v>638</v>
      </c>
      <c r="K110" s="211" t="s">
        <v>639</v>
      </c>
      <c r="L110" s="211" t="s">
        <v>3350</v>
      </c>
      <c r="AD110" s="213"/>
    </row>
    <row r="111" spans="1:30" s="211" customFormat="1" x14ac:dyDescent="0.25">
      <c r="A111" s="211" t="s">
        <v>117</v>
      </c>
      <c r="B111" s="211">
        <v>351</v>
      </c>
      <c r="C111" s="211" t="s">
        <v>116</v>
      </c>
      <c r="D111" s="211">
        <v>504008901</v>
      </c>
      <c r="E111" s="211">
        <v>1080</v>
      </c>
      <c r="G111" s="211">
        <v>1004</v>
      </c>
      <c r="I111" s="211" t="s">
        <v>3023</v>
      </c>
      <c r="J111" s="212" t="s">
        <v>638</v>
      </c>
      <c r="K111" s="211" t="s">
        <v>524</v>
      </c>
      <c r="L111" s="211" t="s">
        <v>3107</v>
      </c>
      <c r="AD111" s="213"/>
    </row>
    <row r="112" spans="1:30" s="211" customFormat="1" x14ac:dyDescent="0.25">
      <c r="A112" s="211" t="s">
        <v>117</v>
      </c>
      <c r="B112" s="211">
        <v>351</v>
      </c>
      <c r="C112" s="211" t="s">
        <v>116</v>
      </c>
      <c r="D112" s="211">
        <v>504010324</v>
      </c>
      <c r="E112" s="211">
        <v>1060</v>
      </c>
      <c r="F112" s="211">
        <v>1251</v>
      </c>
      <c r="G112" s="211">
        <v>1004</v>
      </c>
      <c r="I112" s="211" t="s">
        <v>3279</v>
      </c>
      <c r="J112" s="212" t="s">
        <v>638</v>
      </c>
      <c r="K112" s="211" t="s">
        <v>524</v>
      </c>
      <c r="L112" s="211" t="s">
        <v>3333</v>
      </c>
      <c r="AD112" s="213"/>
    </row>
    <row r="113" spans="1:30" s="211" customFormat="1" x14ac:dyDescent="0.25">
      <c r="A113" s="211" t="s">
        <v>117</v>
      </c>
      <c r="B113" s="211">
        <v>351</v>
      </c>
      <c r="C113" s="211" t="s">
        <v>116</v>
      </c>
      <c r="D113" s="211">
        <v>504011767</v>
      </c>
      <c r="E113" s="211">
        <v>1060</v>
      </c>
      <c r="F113" s="211">
        <v>1251</v>
      </c>
      <c r="G113" s="211">
        <v>1004</v>
      </c>
      <c r="I113" s="211" t="s">
        <v>2751</v>
      </c>
      <c r="J113" s="212" t="s">
        <v>638</v>
      </c>
      <c r="K113" s="211" t="s">
        <v>524</v>
      </c>
      <c r="L113" s="211" t="s">
        <v>2776</v>
      </c>
      <c r="AD113" s="213"/>
    </row>
    <row r="114" spans="1:30" s="211" customFormat="1" x14ac:dyDescent="0.25">
      <c r="A114" s="211" t="s">
        <v>117</v>
      </c>
      <c r="B114" s="211">
        <v>351</v>
      </c>
      <c r="C114" s="211" t="s">
        <v>116</v>
      </c>
      <c r="D114" s="211">
        <v>504011832</v>
      </c>
      <c r="E114" s="211">
        <v>1060</v>
      </c>
      <c r="F114" s="211">
        <v>1242</v>
      </c>
      <c r="G114" s="211">
        <v>1004</v>
      </c>
      <c r="I114" s="211" t="s">
        <v>2512</v>
      </c>
      <c r="J114" s="212" t="s">
        <v>638</v>
      </c>
      <c r="K114" s="211" t="s">
        <v>524</v>
      </c>
      <c r="L114" s="211" t="s">
        <v>2537</v>
      </c>
      <c r="AD114" s="213"/>
    </row>
    <row r="115" spans="1:30" s="211" customFormat="1" x14ac:dyDescent="0.25">
      <c r="A115" s="211" t="s">
        <v>117</v>
      </c>
      <c r="B115" s="211">
        <v>351</v>
      </c>
      <c r="C115" s="211" t="s">
        <v>116</v>
      </c>
      <c r="D115" s="211">
        <v>504013095</v>
      </c>
      <c r="E115" s="211">
        <v>1060</v>
      </c>
      <c r="F115" s="211">
        <v>1251</v>
      </c>
      <c r="G115" s="211">
        <v>1004</v>
      </c>
      <c r="I115" s="211" t="s">
        <v>3153</v>
      </c>
      <c r="J115" s="212" t="s">
        <v>638</v>
      </c>
      <c r="K115" s="211" t="s">
        <v>639</v>
      </c>
      <c r="L115" s="211" t="s">
        <v>3351</v>
      </c>
      <c r="AD115" s="213"/>
    </row>
    <row r="116" spans="1:30" s="211" customFormat="1" x14ac:dyDescent="0.25">
      <c r="A116" s="211" t="s">
        <v>117</v>
      </c>
      <c r="B116" s="211">
        <v>352</v>
      </c>
      <c r="C116" s="211" t="s">
        <v>214</v>
      </c>
      <c r="D116" s="211">
        <v>190212698</v>
      </c>
      <c r="E116" s="211">
        <v>1060</v>
      </c>
      <c r="G116" s="211">
        <v>1004</v>
      </c>
      <c r="I116" s="211" t="s">
        <v>790</v>
      </c>
      <c r="J116" s="212" t="s">
        <v>638</v>
      </c>
      <c r="K116" s="211" t="s">
        <v>524</v>
      </c>
      <c r="L116" s="211" t="s">
        <v>838</v>
      </c>
      <c r="AD116" s="213"/>
    </row>
    <row r="117" spans="1:30" s="211" customFormat="1" x14ac:dyDescent="0.25">
      <c r="A117" s="211" t="s">
        <v>117</v>
      </c>
      <c r="B117" s="211">
        <v>352</v>
      </c>
      <c r="C117" s="211" t="s">
        <v>214</v>
      </c>
      <c r="D117" s="211">
        <v>192006742</v>
      </c>
      <c r="E117" s="211">
        <v>1060</v>
      </c>
      <c r="F117" s="211">
        <v>1242</v>
      </c>
      <c r="G117" s="211">
        <v>1004</v>
      </c>
      <c r="I117" s="211" t="s">
        <v>2845</v>
      </c>
      <c r="J117" s="212" t="s">
        <v>638</v>
      </c>
      <c r="K117" s="211" t="s">
        <v>639</v>
      </c>
      <c r="L117" s="211" t="s">
        <v>2882</v>
      </c>
      <c r="AD117" s="213"/>
    </row>
    <row r="118" spans="1:30" s="211" customFormat="1" x14ac:dyDescent="0.25">
      <c r="A118" s="211" t="s">
        <v>117</v>
      </c>
      <c r="B118" s="211">
        <v>352</v>
      </c>
      <c r="C118" s="211" t="s">
        <v>214</v>
      </c>
      <c r="D118" s="211">
        <v>192044899</v>
      </c>
      <c r="E118" s="211">
        <v>1080</v>
      </c>
      <c r="F118" s="211">
        <v>1274</v>
      </c>
      <c r="G118" s="211">
        <v>1004</v>
      </c>
      <c r="I118" s="211" t="s">
        <v>2991</v>
      </c>
      <c r="J118" s="212" t="s">
        <v>638</v>
      </c>
      <c r="K118" s="211" t="s">
        <v>639</v>
      </c>
      <c r="L118" s="211" t="s">
        <v>2983</v>
      </c>
      <c r="AD118" s="213"/>
    </row>
    <row r="119" spans="1:30" s="211" customFormat="1" x14ac:dyDescent="0.25">
      <c r="A119" s="211" t="s">
        <v>117</v>
      </c>
      <c r="B119" s="211">
        <v>353</v>
      </c>
      <c r="C119" s="211" t="s">
        <v>215</v>
      </c>
      <c r="D119" s="211">
        <v>1269842</v>
      </c>
      <c r="E119" s="211">
        <v>1020</v>
      </c>
      <c r="F119" s="211">
        <v>1110</v>
      </c>
      <c r="G119" s="211">
        <v>1004</v>
      </c>
      <c r="I119" s="211" t="s">
        <v>2110</v>
      </c>
      <c r="J119" s="212" t="s">
        <v>638</v>
      </c>
      <c r="K119" s="211" t="s">
        <v>524</v>
      </c>
      <c r="L119" s="211" t="s">
        <v>2115</v>
      </c>
      <c r="AD119" s="213"/>
    </row>
    <row r="120" spans="1:30" s="211" customFormat="1" x14ac:dyDescent="0.25">
      <c r="A120" s="211" t="s">
        <v>117</v>
      </c>
      <c r="B120" s="211">
        <v>356</v>
      </c>
      <c r="C120" s="211" t="s">
        <v>218</v>
      </c>
      <c r="D120" s="211">
        <v>1279402</v>
      </c>
      <c r="E120" s="211">
        <v>1020</v>
      </c>
      <c r="F120" s="211">
        <v>1110</v>
      </c>
      <c r="G120" s="211">
        <v>1004</v>
      </c>
      <c r="I120" s="211" t="s">
        <v>2369</v>
      </c>
      <c r="J120" s="212" t="s">
        <v>638</v>
      </c>
      <c r="K120" s="211" t="s">
        <v>639</v>
      </c>
      <c r="L120" s="211" t="s">
        <v>2389</v>
      </c>
      <c r="AD120" s="213"/>
    </row>
    <row r="121" spans="1:30" s="211" customFormat="1" x14ac:dyDescent="0.25">
      <c r="A121" s="211" t="s">
        <v>117</v>
      </c>
      <c r="B121" s="211">
        <v>356</v>
      </c>
      <c r="C121" s="211" t="s">
        <v>218</v>
      </c>
      <c r="D121" s="211">
        <v>191769031</v>
      </c>
      <c r="E121" s="211">
        <v>1060</v>
      </c>
      <c r="F121" s="211">
        <v>1242</v>
      </c>
      <c r="G121" s="211">
        <v>1004</v>
      </c>
      <c r="I121" s="211" t="s">
        <v>804</v>
      </c>
      <c r="J121" s="212" t="s">
        <v>638</v>
      </c>
      <c r="K121" s="211" t="s">
        <v>524</v>
      </c>
      <c r="L121" s="211" t="s">
        <v>839</v>
      </c>
      <c r="AD121" s="213"/>
    </row>
    <row r="122" spans="1:30" s="211" customFormat="1" x14ac:dyDescent="0.25">
      <c r="A122" s="211" t="s">
        <v>117</v>
      </c>
      <c r="B122" s="211">
        <v>356</v>
      </c>
      <c r="C122" s="211" t="s">
        <v>218</v>
      </c>
      <c r="D122" s="211">
        <v>191954075</v>
      </c>
      <c r="E122" s="211">
        <v>1060</v>
      </c>
      <c r="F122" s="211">
        <v>1274</v>
      </c>
      <c r="G122" s="211">
        <v>1004</v>
      </c>
      <c r="I122" s="211" t="s">
        <v>1645</v>
      </c>
      <c r="J122" s="212" t="s">
        <v>638</v>
      </c>
      <c r="K122" s="211" t="s">
        <v>524</v>
      </c>
      <c r="L122" s="211" t="s">
        <v>1649</v>
      </c>
      <c r="AD122" s="213"/>
    </row>
    <row r="123" spans="1:30" s="211" customFormat="1" x14ac:dyDescent="0.25">
      <c r="A123" s="211" t="s">
        <v>117</v>
      </c>
      <c r="B123" s="211">
        <v>356</v>
      </c>
      <c r="C123" s="211" t="s">
        <v>218</v>
      </c>
      <c r="D123" s="211">
        <v>191969530</v>
      </c>
      <c r="E123" s="211">
        <v>1060</v>
      </c>
      <c r="F123" s="211">
        <v>1242</v>
      </c>
      <c r="G123" s="211">
        <v>1004</v>
      </c>
      <c r="I123" s="211" t="s">
        <v>643</v>
      </c>
      <c r="J123" s="212" t="s">
        <v>638</v>
      </c>
      <c r="K123" s="211" t="s">
        <v>639</v>
      </c>
      <c r="L123" s="211" t="s">
        <v>1477</v>
      </c>
      <c r="AD123" s="213"/>
    </row>
    <row r="124" spans="1:30" s="211" customFormat="1" x14ac:dyDescent="0.25">
      <c r="A124" s="211" t="s">
        <v>117</v>
      </c>
      <c r="B124" s="211">
        <v>356</v>
      </c>
      <c r="C124" s="211" t="s">
        <v>218</v>
      </c>
      <c r="D124" s="211">
        <v>192009068</v>
      </c>
      <c r="E124" s="211">
        <v>1060</v>
      </c>
      <c r="F124" s="211">
        <v>1252</v>
      </c>
      <c r="G124" s="211">
        <v>1004</v>
      </c>
      <c r="I124" s="211" t="s">
        <v>1697</v>
      </c>
      <c r="J124" s="212" t="s">
        <v>638</v>
      </c>
      <c r="K124" s="211" t="s">
        <v>524</v>
      </c>
      <c r="L124" s="211" t="s">
        <v>1703</v>
      </c>
      <c r="AD124" s="213"/>
    </row>
    <row r="125" spans="1:30" s="211" customFormat="1" x14ac:dyDescent="0.25">
      <c r="A125" s="211" t="s">
        <v>117</v>
      </c>
      <c r="B125" s="211">
        <v>356</v>
      </c>
      <c r="C125" s="211" t="s">
        <v>218</v>
      </c>
      <c r="D125" s="211">
        <v>192038641</v>
      </c>
      <c r="E125" s="211">
        <v>1080</v>
      </c>
      <c r="F125" s="211">
        <v>1252</v>
      </c>
      <c r="G125" s="211">
        <v>1004</v>
      </c>
      <c r="I125" s="211" t="s">
        <v>2675</v>
      </c>
      <c r="J125" s="212" t="s">
        <v>638</v>
      </c>
      <c r="K125" s="211" t="s">
        <v>524</v>
      </c>
      <c r="L125" s="211" t="s">
        <v>2695</v>
      </c>
      <c r="AD125" s="213"/>
    </row>
    <row r="126" spans="1:30" s="211" customFormat="1" x14ac:dyDescent="0.25">
      <c r="A126" s="211" t="s">
        <v>117</v>
      </c>
      <c r="B126" s="211">
        <v>356</v>
      </c>
      <c r="C126" s="211" t="s">
        <v>218</v>
      </c>
      <c r="D126" s="211">
        <v>192041761</v>
      </c>
      <c r="E126" s="211">
        <v>1080</v>
      </c>
      <c r="F126" s="211">
        <v>1242</v>
      </c>
      <c r="G126" s="211">
        <v>1004</v>
      </c>
      <c r="I126" s="211" t="s">
        <v>2788</v>
      </c>
      <c r="J126" s="212" t="s">
        <v>638</v>
      </c>
      <c r="K126" s="211" t="s">
        <v>524</v>
      </c>
      <c r="L126" s="211" t="s">
        <v>2822</v>
      </c>
      <c r="AD126" s="213"/>
    </row>
    <row r="127" spans="1:30" s="211" customFormat="1" x14ac:dyDescent="0.25">
      <c r="A127" s="211" t="s">
        <v>117</v>
      </c>
      <c r="B127" s="211">
        <v>356</v>
      </c>
      <c r="C127" s="211" t="s">
        <v>218</v>
      </c>
      <c r="D127" s="211">
        <v>502112790</v>
      </c>
      <c r="E127" s="211">
        <v>1060</v>
      </c>
      <c r="F127" s="211">
        <v>1252</v>
      </c>
      <c r="G127" s="211">
        <v>1004</v>
      </c>
      <c r="I127" s="211" t="s">
        <v>2789</v>
      </c>
      <c r="J127" s="212" t="s">
        <v>638</v>
      </c>
      <c r="K127" s="211" t="s">
        <v>524</v>
      </c>
      <c r="L127" s="211" t="s">
        <v>2823</v>
      </c>
      <c r="AD127" s="213"/>
    </row>
    <row r="128" spans="1:30" s="211" customFormat="1" x14ac:dyDescent="0.25">
      <c r="A128" s="211" t="s">
        <v>117</v>
      </c>
      <c r="B128" s="211">
        <v>358</v>
      </c>
      <c r="C128" s="211" t="s">
        <v>220</v>
      </c>
      <c r="D128" s="211">
        <v>191988640</v>
      </c>
      <c r="E128" s="211">
        <v>1080</v>
      </c>
      <c r="F128" s="211">
        <v>1274</v>
      </c>
      <c r="G128" s="211">
        <v>1004</v>
      </c>
      <c r="I128" s="211" t="s">
        <v>1664</v>
      </c>
      <c r="J128" s="212" t="s">
        <v>638</v>
      </c>
      <c r="K128" s="211" t="s">
        <v>524</v>
      </c>
      <c r="L128" s="211" t="s">
        <v>1668</v>
      </c>
      <c r="AD128" s="213"/>
    </row>
    <row r="129" spans="1:30" s="211" customFormat="1" x14ac:dyDescent="0.25">
      <c r="A129" s="211" t="s">
        <v>117</v>
      </c>
      <c r="B129" s="211">
        <v>359</v>
      </c>
      <c r="C129" s="211" t="s">
        <v>221</v>
      </c>
      <c r="D129" s="211">
        <v>191715753</v>
      </c>
      <c r="E129" s="211">
        <v>1060</v>
      </c>
      <c r="F129" s="211">
        <v>1271</v>
      </c>
      <c r="G129" s="211">
        <v>1004</v>
      </c>
      <c r="I129" s="211" t="s">
        <v>1646</v>
      </c>
      <c r="J129" s="212" t="s">
        <v>638</v>
      </c>
      <c r="K129" s="211" t="s">
        <v>524</v>
      </c>
      <c r="L129" s="211" t="s">
        <v>1650</v>
      </c>
      <c r="AD129" s="213"/>
    </row>
    <row r="130" spans="1:30" s="211" customFormat="1" x14ac:dyDescent="0.25">
      <c r="A130" s="211" t="s">
        <v>117</v>
      </c>
      <c r="B130" s="211">
        <v>359</v>
      </c>
      <c r="C130" s="211" t="s">
        <v>221</v>
      </c>
      <c r="D130" s="211">
        <v>192021742</v>
      </c>
      <c r="E130" s="211">
        <v>1080</v>
      </c>
      <c r="F130" s="211">
        <v>1252</v>
      </c>
      <c r="G130" s="211">
        <v>1004</v>
      </c>
      <c r="I130" s="211" t="s">
        <v>2125</v>
      </c>
      <c r="J130" s="212" t="s">
        <v>638</v>
      </c>
      <c r="K130" s="211" t="s">
        <v>524</v>
      </c>
      <c r="L130" s="211" t="s">
        <v>2138</v>
      </c>
      <c r="AD130" s="213"/>
    </row>
    <row r="131" spans="1:30" s="211" customFormat="1" x14ac:dyDescent="0.25">
      <c r="A131" s="211" t="s">
        <v>117</v>
      </c>
      <c r="B131" s="211">
        <v>359</v>
      </c>
      <c r="C131" s="211" t="s">
        <v>221</v>
      </c>
      <c r="D131" s="211">
        <v>192026694</v>
      </c>
      <c r="E131" s="211">
        <v>1060</v>
      </c>
      <c r="F131" s="211">
        <v>1242</v>
      </c>
      <c r="G131" s="211">
        <v>1003</v>
      </c>
      <c r="I131" s="211" t="s">
        <v>2548</v>
      </c>
      <c r="J131" s="212" t="s">
        <v>638</v>
      </c>
      <c r="K131" s="211" t="s">
        <v>524</v>
      </c>
      <c r="L131" s="211" t="s">
        <v>2563</v>
      </c>
      <c r="AD131" s="213"/>
    </row>
    <row r="132" spans="1:30" s="211" customFormat="1" x14ac:dyDescent="0.25">
      <c r="A132" s="211" t="s">
        <v>117</v>
      </c>
      <c r="B132" s="211">
        <v>359</v>
      </c>
      <c r="C132" s="211" t="s">
        <v>221</v>
      </c>
      <c r="D132" s="211">
        <v>192026891</v>
      </c>
      <c r="E132" s="211">
        <v>1060</v>
      </c>
      <c r="F132" s="211">
        <v>1242</v>
      </c>
      <c r="G132" s="211">
        <v>1004</v>
      </c>
      <c r="I132" s="211" t="s">
        <v>2944</v>
      </c>
      <c r="J132" s="212" t="s">
        <v>638</v>
      </c>
      <c r="K132" s="211" t="s">
        <v>524</v>
      </c>
      <c r="L132" s="211" t="s">
        <v>2969</v>
      </c>
      <c r="AD132" s="213"/>
    </row>
    <row r="133" spans="1:30" s="211" customFormat="1" x14ac:dyDescent="0.25">
      <c r="A133" s="211" t="s">
        <v>117</v>
      </c>
      <c r="B133" s="211">
        <v>359</v>
      </c>
      <c r="C133" s="211" t="s">
        <v>221</v>
      </c>
      <c r="D133" s="211">
        <v>192050520</v>
      </c>
      <c r="E133" s="211">
        <v>1060</v>
      </c>
      <c r="F133" s="211">
        <v>1271</v>
      </c>
      <c r="G133" s="211">
        <v>1004</v>
      </c>
      <c r="I133" s="211" t="s">
        <v>3539</v>
      </c>
      <c r="J133" s="212" t="s">
        <v>638</v>
      </c>
      <c r="K133" s="211" t="s">
        <v>526</v>
      </c>
      <c r="L133" s="211" t="s">
        <v>3576</v>
      </c>
      <c r="AD133" s="213"/>
    </row>
    <row r="134" spans="1:30" s="211" customFormat="1" x14ac:dyDescent="0.25">
      <c r="A134" s="211" t="s">
        <v>117</v>
      </c>
      <c r="B134" s="211">
        <v>359</v>
      </c>
      <c r="C134" s="211" t="s">
        <v>221</v>
      </c>
      <c r="D134" s="211">
        <v>192050522</v>
      </c>
      <c r="E134" s="211">
        <v>1060</v>
      </c>
      <c r="F134" s="211">
        <v>1271</v>
      </c>
      <c r="G134" s="211">
        <v>1004</v>
      </c>
      <c r="I134" s="211" t="s">
        <v>3540</v>
      </c>
      <c r="J134" s="212" t="s">
        <v>638</v>
      </c>
      <c r="K134" s="211" t="s">
        <v>526</v>
      </c>
      <c r="L134" s="211" t="s">
        <v>3576</v>
      </c>
      <c r="AD134" s="213"/>
    </row>
    <row r="135" spans="1:30" s="211" customFormat="1" x14ac:dyDescent="0.25">
      <c r="A135" s="211" t="s">
        <v>117</v>
      </c>
      <c r="B135" s="211">
        <v>360</v>
      </c>
      <c r="C135" s="211" t="s">
        <v>222</v>
      </c>
      <c r="D135" s="211">
        <v>1283006</v>
      </c>
      <c r="E135" s="211">
        <v>1020</v>
      </c>
      <c r="F135" s="211">
        <v>1110</v>
      </c>
      <c r="G135" s="211">
        <v>1004</v>
      </c>
      <c r="I135" s="211" t="s">
        <v>2352</v>
      </c>
      <c r="J135" s="212" t="s">
        <v>638</v>
      </c>
      <c r="K135" s="211" t="s">
        <v>524</v>
      </c>
      <c r="L135" s="211" t="s">
        <v>2356</v>
      </c>
      <c r="AD135" s="213"/>
    </row>
    <row r="136" spans="1:30" s="211" customFormat="1" x14ac:dyDescent="0.25">
      <c r="A136" s="211" t="s">
        <v>117</v>
      </c>
      <c r="B136" s="211">
        <v>360</v>
      </c>
      <c r="C136" s="211" t="s">
        <v>222</v>
      </c>
      <c r="D136" s="211">
        <v>1283521</v>
      </c>
      <c r="E136" s="211">
        <v>1020</v>
      </c>
      <c r="F136" s="211">
        <v>1110</v>
      </c>
      <c r="G136" s="211">
        <v>1004</v>
      </c>
      <c r="I136" s="211" t="s">
        <v>644</v>
      </c>
      <c r="J136" s="212" t="s">
        <v>638</v>
      </c>
      <c r="K136" s="211" t="s">
        <v>639</v>
      </c>
      <c r="L136" s="211" t="s">
        <v>909</v>
      </c>
      <c r="AD136" s="213"/>
    </row>
    <row r="137" spans="1:30" s="211" customFormat="1" x14ac:dyDescent="0.25">
      <c r="A137" s="211" t="s">
        <v>117</v>
      </c>
      <c r="B137" s="211">
        <v>360</v>
      </c>
      <c r="C137" s="211" t="s">
        <v>222</v>
      </c>
      <c r="D137" s="211">
        <v>191988725</v>
      </c>
      <c r="E137" s="211">
        <v>1060</v>
      </c>
      <c r="F137" s="211">
        <v>1220</v>
      </c>
      <c r="G137" s="211">
        <v>1004</v>
      </c>
      <c r="I137" s="211" t="s">
        <v>2069</v>
      </c>
      <c r="J137" s="212" t="s">
        <v>638</v>
      </c>
      <c r="K137" s="211" t="s">
        <v>524</v>
      </c>
      <c r="L137" s="211" t="s">
        <v>2083</v>
      </c>
      <c r="AD137" s="213"/>
    </row>
    <row r="138" spans="1:30" s="211" customFormat="1" x14ac:dyDescent="0.25">
      <c r="A138" s="211" t="s">
        <v>117</v>
      </c>
      <c r="B138" s="211">
        <v>360</v>
      </c>
      <c r="C138" s="211" t="s">
        <v>222</v>
      </c>
      <c r="D138" s="211">
        <v>191999453</v>
      </c>
      <c r="E138" s="211">
        <v>1060</v>
      </c>
      <c r="F138" s="211">
        <v>1271</v>
      </c>
      <c r="G138" s="211">
        <v>1004</v>
      </c>
      <c r="I138" s="211" t="s">
        <v>1483</v>
      </c>
      <c r="J138" s="212" t="s">
        <v>638</v>
      </c>
      <c r="K138" s="211" t="s">
        <v>524</v>
      </c>
      <c r="L138" s="211" t="s">
        <v>1485</v>
      </c>
      <c r="AD138" s="213"/>
    </row>
    <row r="139" spans="1:30" s="211" customFormat="1" x14ac:dyDescent="0.25">
      <c r="A139" s="211" t="s">
        <v>117</v>
      </c>
      <c r="B139" s="211">
        <v>360</v>
      </c>
      <c r="C139" s="211" t="s">
        <v>222</v>
      </c>
      <c r="D139" s="211">
        <v>192001051</v>
      </c>
      <c r="E139" s="211">
        <v>1060</v>
      </c>
      <c r="F139" s="211">
        <v>1242</v>
      </c>
      <c r="G139" s="211">
        <v>1004</v>
      </c>
      <c r="I139" s="211" t="s">
        <v>2888</v>
      </c>
      <c r="J139" s="212" t="s">
        <v>638</v>
      </c>
      <c r="K139" s="211" t="s">
        <v>524</v>
      </c>
      <c r="L139" s="211" t="s">
        <v>2910</v>
      </c>
      <c r="AD139" s="213"/>
    </row>
    <row r="140" spans="1:30" s="211" customFormat="1" x14ac:dyDescent="0.25">
      <c r="A140" s="211" t="s">
        <v>117</v>
      </c>
      <c r="B140" s="211">
        <v>360</v>
      </c>
      <c r="C140" s="211" t="s">
        <v>222</v>
      </c>
      <c r="D140" s="211">
        <v>192017415</v>
      </c>
      <c r="E140" s="211">
        <v>1060</v>
      </c>
      <c r="F140" s="211">
        <v>1252</v>
      </c>
      <c r="G140" s="211">
        <v>1004</v>
      </c>
      <c r="I140" s="211" t="s">
        <v>1919</v>
      </c>
      <c r="J140" s="212" t="s">
        <v>638</v>
      </c>
      <c r="K140" s="211" t="s">
        <v>639</v>
      </c>
      <c r="L140" s="211" t="s">
        <v>2092</v>
      </c>
      <c r="AD140" s="213"/>
    </row>
    <row r="141" spans="1:30" s="211" customFormat="1" x14ac:dyDescent="0.25">
      <c r="A141" s="211" t="s">
        <v>117</v>
      </c>
      <c r="B141" s="211">
        <v>360</v>
      </c>
      <c r="C141" s="211" t="s">
        <v>222</v>
      </c>
      <c r="D141" s="211">
        <v>192017524</v>
      </c>
      <c r="E141" s="211">
        <v>1060</v>
      </c>
      <c r="F141" s="211">
        <v>1274</v>
      </c>
      <c r="G141" s="211">
        <v>1004</v>
      </c>
      <c r="I141" s="211" t="s">
        <v>3768</v>
      </c>
      <c r="J141" s="212" t="s">
        <v>638</v>
      </c>
      <c r="K141" s="211" t="s">
        <v>524</v>
      </c>
      <c r="L141" s="211" t="s">
        <v>3814</v>
      </c>
      <c r="AD141" s="213"/>
    </row>
    <row r="142" spans="1:30" s="211" customFormat="1" x14ac:dyDescent="0.25">
      <c r="A142" s="211" t="s">
        <v>117</v>
      </c>
      <c r="B142" s="211">
        <v>360</v>
      </c>
      <c r="C142" s="211" t="s">
        <v>222</v>
      </c>
      <c r="D142" s="211">
        <v>192021012</v>
      </c>
      <c r="E142" s="211">
        <v>1060</v>
      </c>
      <c r="F142" s="211">
        <v>1271</v>
      </c>
      <c r="G142" s="211">
        <v>1004</v>
      </c>
      <c r="I142" s="211" t="s">
        <v>2096</v>
      </c>
      <c r="J142" s="212" t="s">
        <v>638</v>
      </c>
      <c r="K142" s="211" t="s">
        <v>524</v>
      </c>
      <c r="L142" s="211" t="s">
        <v>2104</v>
      </c>
      <c r="AD142" s="213"/>
    </row>
    <row r="143" spans="1:30" s="211" customFormat="1" x14ac:dyDescent="0.25">
      <c r="A143" s="211" t="s">
        <v>117</v>
      </c>
      <c r="B143" s="211">
        <v>360</v>
      </c>
      <c r="C143" s="211" t="s">
        <v>222</v>
      </c>
      <c r="D143" s="211">
        <v>502092483</v>
      </c>
      <c r="E143" s="211">
        <v>1060</v>
      </c>
      <c r="F143" s="211">
        <v>1271</v>
      </c>
      <c r="G143" s="211">
        <v>1004</v>
      </c>
      <c r="I143" s="211" t="s">
        <v>3364</v>
      </c>
      <c r="J143" s="212" t="s">
        <v>638</v>
      </c>
      <c r="K143" s="211" t="s">
        <v>524</v>
      </c>
      <c r="L143" s="211" t="s">
        <v>3404</v>
      </c>
      <c r="AD143" s="213"/>
    </row>
    <row r="144" spans="1:30" s="211" customFormat="1" x14ac:dyDescent="0.25">
      <c r="A144" s="211" t="s">
        <v>117</v>
      </c>
      <c r="B144" s="211">
        <v>361</v>
      </c>
      <c r="C144" s="211" t="s">
        <v>223</v>
      </c>
      <c r="D144" s="211">
        <v>1285512</v>
      </c>
      <c r="E144" s="211">
        <v>1020</v>
      </c>
      <c r="F144" s="211">
        <v>1110</v>
      </c>
      <c r="G144" s="211">
        <v>1004</v>
      </c>
      <c r="I144" s="211" t="s">
        <v>2183</v>
      </c>
      <c r="J144" s="212" t="s">
        <v>638</v>
      </c>
      <c r="K144" s="211" t="s">
        <v>639</v>
      </c>
      <c r="L144" s="211" t="s">
        <v>964</v>
      </c>
      <c r="AD144" s="213"/>
    </row>
    <row r="145" spans="1:30" s="211" customFormat="1" x14ac:dyDescent="0.25">
      <c r="A145" s="211" t="s">
        <v>117</v>
      </c>
      <c r="B145" s="211">
        <v>361</v>
      </c>
      <c r="C145" s="211" t="s">
        <v>223</v>
      </c>
      <c r="D145" s="211">
        <v>191862229</v>
      </c>
      <c r="E145" s="211">
        <v>1080</v>
      </c>
      <c r="F145" s="211">
        <v>1242</v>
      </c>
      <c r="G145" s="211">
        <v>1004</v>
      </c>
      <c r="I145" s="211" t="s">
        <v>791</v>
      </c>
      <c r="J145" s="212" t="s">
        <v>638</v>
      </c>
      <c r="K145" s="211" t="s">
        <v>639</v>
      </c>
      <c r="L145" s="211" t="s">
        <v>910</v>
      </c>
      <c r="AD145" s="213"/>
    </row>
    <row r="146" spans="1:30" s="211" customFormat="1" x14ac:dyDescent="0.25">
      <c r="A146" s="211" t="s">
        <v>117</v>
      </c>
      <c r="B146" s="211">
        <v>361</v>
      </c>
      <c r="C146" s="211" t="s">
        <v>223</v>
      </c>
      <c r="D146" s="211">
        <v>191975084</v>
      </c>
      <c r="E146" s="211">
        <v>1080</v>
      </c>
      <c r="F146" s="211">
        <v>1242</v>
      </c>
      <c r="G146" s="211">
        <v>1003</v>
      </c>
      <c r="I146" s="211" t="s">
        <v>1671</v>
      </c>
      <c r="J146" s="212" t="s">
        <v>638</v>
      </c>
      <c r="K146" s="211" t="s">
        <v>639</v>
      </c>
      <c r="L146" s="211" t="s">
        <v>1681</v>
      </c>
      <c r="AD146" s="213"/>
    </row>
    <row r="147" spans="1:30" s="211" customFormat="1" x14ac:dyDescent="0.25">
      <c r="A147" s="211" t="s">
        <v>117</v>
      </c>
      <c r="B147" s="211">
        <v>361</v>
      </c>
      <c r="C147" s="211" t="s">
        <v>223</v>
      </c>
      <c r="D147" s="211">
        <v>192051725</v>
      </c>
      <c r="E147" s="211">
        <v>1020</v>
      </c>
      <c r="F147" s="211">
        <v>1122</v>
      </c>
      <c r="G147" s="211">
        <v>1004</v>
      </c>
      <c r="I147" s="211" t="s">
        <v>3608</v>
      </c>
      <c r="J147" s="212" t="s">
        <v>638</v>
      </c>
      <c r="K147" s="211" t="s">
        <v>639</v>
      </c>
      <c r="L147" s="211" t="s">
        <v>3748</v>
      </c>
      <c r="AD147" s="213"/>
    </row>
    <row r="148" spans="1:30" s="211" customFormat="1" x14ac:dyDescent="0.25">
      <c r="A148" s="211" t="s">
        <v>117</v>
      </c>
      <c r="B148" s="211">
        <v>362</v>
      </c>
      <c r="C148" s="211" t="s">
        <v>224</v>
      </c>
      <c r="D148" s="211">
        <v>1287716</v>
      </c>
      <c r="E148" s="211">
        <v>1020</v>
      </c>
      <c r="F148" s="211">
        <v>1110</v>
      </c>
      <c r="G148" s="211">
        <v>1004</v>
      </c>
      <c r="I148" s="211" t="s">
        <v>2255</v>
      </c>
      <c r="J148" s="212" t="s">
        <v>638</v>
      </c>
      <c r="K148" s="211" t="s">
        <v>639</v>
      </c>
      <c r="L148" s="211" t="s">
        <v>2273</v>
      </c>
      <c r="AD148" s="213"/>
    </row>
    <row r="149" spans="1:30" s="211" customFormat="1" x14ac:dyDescent="0.25">
      <c r="A149" s="211" t="s">
        <v>117</v>
      </c>
      <c r="B149" s="211">
        <v>362</v>
      </c>
      <c r="C149" s="211" t="s">
        <v>224</v>
      </c>
      <c r="D149" s="211">
        <v>191656724</v>
      </c>
      <c r="E149" s="211">
        <v>1060</v>
      </c>
      <c r="F149" s="211">
        <v>1261</v>
      </c>
      <c r="G149" s="211">
        <v>1004</v>
      </c>
      <c r="I149" s="211" t="s">
        <v>1708</v>
      </c>
      <c r="J149" s="212" t="s">
        <v>638</v>
      </c>
      <c r="K149" s="211" t="s">
        <v>524</v>
      </c>
      <c r="L149" s="211" t="s">
        <v>1712</v>
      </c>
      <c r="AD149" s="213"/>
    </row>
    <row r="150" spans="1:30" s="211" customFormat="1" x14ac:dyDescent="0.25">
      <c r="A150" s="211" t="s">
        <v>117</v>
      </c>
      <c r="B150" s="211">
        <v>362</v>
      </c>
      <c r="C150" s="211" t="s">
        <v>224</v>
      </c>
      <c r="D150" s="211">
        <v>191994762</v>
      </c>
      <c r="E150" s="211">
        <v>1060</v>
      </c>
      <c r="F150" s="211">
        <v>1242</v>
      </c>
      <c r="G150" s="211">
        <v>1003</v>
      </c>
      <c r="I150" s="211" t="s">
        <v>2945</v>
      </c>
      <c r="J150" s="212" t="s">
        <v>638</v>
      </c>
      <c r="K150" s="211" t="s">
        <v>639</v>
      </c>
      <c r="L150" s="211" t="s">
        <v>2984</v>
      </c>
      <c r="AD150" s="213"/>
    </row>
    <row r="151" spans="1:30" s="211" customFormat="1" x14ac:dyDescent="0.25">
      <c r="A151" s="211" t="s">
        <v>117</v>
      </c>
      <c r="B151" s="211">
        <v>362</v>
      </c>
      <c r="C151" s="211" t="s">
        <v>224</v>
      </c>
      <c r="D151" s="211">
        <v>192014720</v>
      </c>
      <c r="E151" s="211">
        <v>1060</v>
      </c>
      <c r="F151" s="211">
        <v>1242</v>
      </c>
      <c r="G151" s="211">
        <v>1003</v>
      </c>
      <c r="I151" s="211" t="s">
        <v>2047</v>
      </c>
      <c r="J151" s="212" t="s">
        <v>638</v>
      </c>
      <c r="K151" s="211" t="s">
        <v>639</v>
      </c>
      <c r="L151" s="211" t="s">
        <v>2065</v>
      </c>
      <c r="AD151" s="213"/>
    </row>
    <row r="152" spans="1:30" s="211" customFormat="1" x14ac:dyDescent="0.25">
      <c r="A152" s="211" t="s">
        <v>117</v>
      </c>
      <c r="B152" s="211">
        <v>363</v>
      </c>
      <c r="C152" s="211" t="s">
        <v>225</v>
      </c>
      <c r="D152" s="211">
        <v>191996574</v>
      </c>
      <c r="E152" s="211">
        <v>1020</v>
      </c>
      <c r="F152" s="211">
        <v>1110</v>
      </c>
      <c r="G152" s="211">
        <v>1004</v>
      </c>
      <c r="I152" s="211" t="s">
        <v>2256</v>
      </c>
      <c r="J152" s="212" t="s">
        <v>638</v>
      </c>
      <c r="K152" s="211" t="s">
        <v>524</v>
      </c>
      <c r="L152" s="211" t="s">
        <v>3405</v>
      </c>
      <c r="AD152" s="213"/>
    </row>
    <row r="153" spans="1:30" s="211" customFormat="1" x14ac:dyDescent="0.25">
      <c r="A153" s="211" t="s">
        <v>117</v>
      </c>
      <c r="B153" s="211">
        <v>371</v>
      </c>
      <c r="C153" s="211" t="s">
        <v>226</v>
      </c>
      <c r="D153" s="211">
        <v>1755951</v>
      </c>
      <c r="E153" s="211">
        <v>1060</v>
      </c>
      <c r="F153" s="211">
        <v>1274</v>
      </c>
      <c r="G153" s="211">
        <v>1004</v>
      </c>
      <c r="I153" s="211" t="s">
        <v>2239</v>
      </c>
      <c r="J153" s="212" t="s">
        <v>638</v>
      </c>
      <c r="K153" s="211" t="s">
        <v>524</v>
      </c>
      <c r="L153" s="211" t="s">
        <v>2249</v>
      </c>
      <c r="AD153" s="213"/>
    </row>
    <row r="154" spans="1:30" s="211" customFormat="1" x14ac:dyDescent="0.25">
      <c r="A154" s="211" t="s">
        <v>117</v>
      </c>
      <c r="B154" s="211">
        <v>371</v>
      </c>
      <c r="C154" s="211" t="s">
        <v>226</v>
      </c>
      <c r="D154" s="211">
        <v>9005021</v>
      </c>
      <c r="E154" s="211">
        <v>1040</v>
      </c>
      <c r="F154" s="211">
        <v>1220</v>
      </c>
      <c r="G154" s="211">
        <v>1004</v>
      </c>
      <c r="I154" s="211" t="s">
        <v>2126</v>
      </c>
      <c r="J154" s="212" t="s">
        <v>638</v>
      </c>
      <c r="K154" s="211" t="s">
        <v>639</v>
      </c>
      <c r="L154" s="211" t="s">
        <v>2145</v>
      </c>
      <c r="AD154" s="213"/>
    </row>
    <row r="155" spans="1:30" s="211" customFormat="1" x14ac:dyDescent="0.25">
      <c r="A155" s="211" t="s">
        <v>117</v>
      </c>
      <c r="B155" s="211">
        <v>371</v>
      </c>
      <c r="C155" s="211" t="s">
        <v>226</v>
      </c>
      <c r="D155" s="211">
        <v>190531070</v>
      </c>
      <c r="E155" s="211">
        <v>1060</v>
      </c>
      <c r="F155" s="211">
        <v>1220</v>
      </c>
      <c r="G155" s="211">
        <v>1004</v>
      </c>
      <c r="I155" s="211" t="s">
        <v>2275</v>
      </c>
      <c r="J155" s="212" t="s">
        <v>638</v>
      </c>
      <c r="K155" s="211" t="s">
        <v>524</v>
      </c>
      <c r="L155" s="211" t="s">
        <v>2298</v>
      </c>
      <c r="AD155" s="213"/>
    </row>
    <row r="156" spans="1:30" s="211" customFormat="1" x14ac:dyDescent="0.25">
      <c r="A156" s="211" t="s">
        <v>117</v>
      </c>
      <c r="B156" s="211">
        <v>371</v>
      </c>
      <c r="C156" s="211" t="s">
        <v>226</v>
      </c>
      <c r="D156" s="211">
        <v>191676820</v>
      </c>
      <c r="E156" s="211">
        <v>1040</v>
      </c>
      <c r="F156" s="211">
        <v>1130</v>
      </c>
      <c r="G156" s="211">
        <v>1004</v>
      </c>
      <c r="I156" s="211" t="s">
        <v>2276</v>
      </c>
      <c r="J156" s="212" t="s">
        <v>638</v>
      </c>
      <c r="K156" s="211" t="s">
        <v>524</v>
      </c>
      <c r="L156" s="211" t="s">
        <v>2299</v>
      </c>
      <c r="AD156" s="213"/>
    </row>
    <row r="157" spans="1:30" s="211" customFormat="1" x14ac:dyDescent="0.25">
      <c r="A157" s="211" t="s">
        <v>117</v>
      </c>
      <c r="B157" s="211">
        <v>371</v>
      </c>
      <c r="C157" s="211" t="s">
        <v>226</v>
      </c>
      <c r="D157" s="211">
        <v>191807037</v>
      </c>
      <c r="E157" s="211">
        <v>1060</v>
      </c>
      <c r="F157" s="211">
        <v>1274</v>
      </c>
      <c r="G157" s="211">
        <v>1004</v>
      </c>
      <c r="I157" s="211" t="s">
        <v>2240</v>
      </c>
      <c r="J157" s="212" t="s">
        <v>638</v>
      </c>
      <c r="K157" s="211" t="s">
        <v>524</v>
      </c>
      <c r="L157" s="211" t="s">
        <v>2250</v>
      </c>
      <c r="AD157" s="213"/>
    </row>
    <row r="158" spans="1:30" s="211" customFormat="1" x14ac:dyDescent="0.25">
      <c r="A158" s="211" t="s">
        <v>117</v>
      </c>
      <c r="B158" s="211">
        <v>371</v>
      </c>
      <c r="C158" s="211" t="s">
        <v>226</v>
      </c>
      <c r="D158" s="211">
        <v>191807795</v>
      </c>
      <c r="E158" s="211">
        <v>1060</v>
      </c>
      <c r="F158" s="211">
        <v>1274</v>
      </c>
      <c r="G158" s="211">
        <v>1004</v>
      </c>
      <c r="I158" s="211" t="s">
        <v>3280</v>
      </c>
      <c r="J158" s="212" t="s">
        <v>638</v>
      </c>
      <c r="K158" s="211" t="s">
        <v>524</v>
      </c>
      <c r="L158" s="211" t="s">
        <v>3334</v>
      </c>
      <c r="AD158" s="213"/>
    </row>
    <row r="159" spans="1:30" s="211" customFormat="1" x14ac:dyDescent="0.25">
      <c r="A159" s="211" t="s">
        <v>117</v>
      </c>
      <c r="B159" s="211">
        <v>371</v>
      </c>
      <c r="C159" s="211" t="s">
        <v>226</v>
      </c>
      <c r="D159" s="211">
        <v>191807797</v>
      </c>
      <c r="E159" s="211">
        <v>1060</v>
      </c>
      <c r="F159" s="211">
        <v>1274</v>
      </c>
      <c r="G159" s="211">
        <v>1004</v>
      </c>
      <c r="I159" s="211" t="s">
        <v>2241</v>
      </c>
      <c r="J159" s="212" t="s">
        <v>638</v>
      </c>
      <c r="K159" s="211" t="s">
        <v>524</v>
      </c>
      <c r="L159" s="211" t="s">
        <v>2251</v>
      </c>
      <c r="AD159" s="213"/>
    </row>
    <row r="160" spans="1:30" s="211" customFormat="1" x14ac:dyDescent="0.25">
      <c r="A160" s="211" t="s">
        <v>117</v>
      </c>
      <c r="B160" s="211">
        <v>371</v>
      </c>
      <c r="C160" s="211" t="s">
        <v>226</v>
      </c>
      <c r="D160" s="211">
        <v>191868272</v>
      </c>
      <c r="E160" s="211">
        <v>1060</v>
      </c>
      <c r="F160" s="211">
        <v>1274</v>
      </c>
      <c r="G160" s="211">
        <v>1004</v>
      </c>
      <c r="I160" s="211" t="s">
        <v>2257</v>
      </c>
      <c r="J160" s="212" t="s">
        <v>638</v>
      </c>
      <c r="K160" s="211" t="s">
        <v>524</v>
      </c>
      <c r="L160" s="211" t="s">
        <v>2267</v>
      </c>
      <c r="AD160" s="213"/>
    </row>
    <row r="161" spans="1:30" s="211" customFormat="1" x14ac:dyDescent="0.25">
      <c r="A161" s="211" t="s">
        <v>117</v>
      </c>
      <c r="B161" s="211">
        <v>371</v>
      </c>
      <c r="C161" s="211" t="s">
        <v>226</v>
      </c>
      <c r="D161" s="211">
        <v>191892687</v>
      </c>
      <c r="E161" s="211">
        <v>1080</v>
      </c>
      <c r="F161" s="211">
        <v>1242</v>
      </c>
      <c r="G161" s="211">
        <v>1004</v>
      </c>
      <c r="I161" s="211" t="s">
        <v>2790</v>
      </c>
      <c r="J161" s="212" t="s">
        <v>638</v>
      </c>
      <c r="K161" s="211" t="s">
        <v>639</v>
      </c>
      <c r="L161" s="211" t="s">
        <v>2841</v>
      </c>
      <c r="AD161" s="213"/>
    </row>
    <row r="162" spans="1:30" s="211" customFormat="1" x14ac:dyDescent="0.25">
      <c r="A162" s="211" t="s">
        <v>117</v>
      </c>
      <c r="B162" s="211">
        <v>371</v>
      </c>
      <c r="C162" s="211" t="s">
        <v>226</v>
      </c>
      <c r="D162" s="211">
        <v>191893445</v>
      </c>
      <c r="E162" s="211">
        <v>1080</v>
      </c>
      <c r="F162" s="211">
        <v>1242</v>
      </c>
      <c r="G162" s="211">
        <v>1004</v>
      </c>
      <c r="I162" s="211" t="s">
        <v>2127</v>
      </c>
      <c r="J162" s="212" t="s">
        <v>638</v>
      </c>
      <c r="K162" s="211" t="s">
        <v>524</v>
      </c>
      <c r="L162" s="211" t="s">
        <v>2139</v>
      </c>
      <c r="AD162" s="213"/>
    </row>
    <row r="163" spans="1:30" s="211" customFormat="1" x14ac:dyDescent="0.25">
      <c r="A163" s="211" t="s">
        <v>117</v>
      </c>
      <c r="B163" s="211">
        <v>371</v>
      </c>
      <c r="C163" s="211" t="s">
        <v>226</v>
      </c>
      <c r="D163" s="211">
        <v>191893491</v>
      </c>
      <c r="E163" s="211">
        <v>1080</v>
      </c>
      <c r="F163" s="211">
        <v>1242</v>
      </c>
      <c r="G163" s="211">
        <v>1004</v>
      </c>
      <c r="I163" s="211" t="s">
        <v>2258</v>
      </c>
      <c r="J163" s="212" t="s">
        <v>638</v>
      </c>
      <c r="K163" s="211" t="s">
        <v>524</v>
      </c>
      <c r="L163" s="211" t="s">
        <v>2268</v>
      </c>
      <c r="AD163" s="213"/>
    </row>
    <row r="164" spans="1:30" s="211" customFormat="1" x14ac:dyDescent="0.25">
      <c r="A164" s="211" t="s">
        <v>117</v>
      </c>
      <c r="B164" s="211">
        <v>371</v>
      </c>
      <c r="C164" s="211" t="s">
        <v>226</v>
      </c>
      <c r="D164" s="211">
        <v>191897408</v>
      </c>
      <c r="E164" s="211">
        <v>1060</v>
      </c>
      <c r="F164" s="211">
        <v>1252</v>
      </c>
      <c r="G164" s="211">
        <v>1004</v>
      </c>
      <c r="I164" s="211" t="s">
        <v>2097</v>
      </c>
      <c r="J164" s="212" t="s">
        <v>638</v>
      </c>
      <c r="K164" s="211" t="s">
        <v>524</v>
      </c>
      <c r="L164" s="211" t="s">
        <v>2105</v>
      </c>
      <c r="AD164" s="213"/>
    </row>
    <row r="165" spans="1:30" s="211" customFormat="1" x14ac:dyDescent="0.25">
      <c r="A165" s="211" t="s">
        <v>117</v>
      </c>
      <c r="B165" s="211">
        <v>371</v>
      </c>
      <c r="C165" s="211" t="s">
        <v>226</v>
      </c>
      <c r="D165" s="211">
        <v>191898605</v>
      </c>
      <c r="E165" s="211">
        <v>1080</v>
      </c>
      <c r="F165" s="211">
        <v>1242</v>
      </c>
      <c r="G165" s="211">
        <v>1004</v>
      </c>
      <c r="I165" s="211" t="s">
        <v>2578</v>
      </c>
      <c r="J165" s="212" t="s">
        <v>638</v>
      </c>
      <c r="K165" s="211" t="s">
        <v>524</v>
      </c>
      <c r="L165" s="211" t="s">
        <v>2586</v>
      </c>
      <c r="AD165" s="213"/>
    </row>
    <row r="166" spans="1:30" s="211" customFormat="1" x14ac:dyDescent="0.25">
      <c r="A166" s="211" t="s">
        <v>117</v>
      </c>
      <c r="B166" s="211">
        <v>371</v>
      </c>
      <c r="C166" s="211" t="s">
        <v>226</v>
      </c>
      <c r="D166" s="211">
        <v>191899085</v>
      </c>
      <c r="E166" s="211">
        <v>1060</v>
      </c>
      <c r="F166" s="211">
        <v>1263</v>
      </c>
      <c r="G166" s="211">
        <v>1004</v>
      </c>
      <c r="I166" s="211" t="s">
        <v>2128</v>
      </c>
      <c r="J166" s="212" t="s">
        <v>638</v>
      </c>
      <c r="K166" s="211" t="s">
        <v>639</v>
      </c>
      <c r="L166" s="211" t="s">
        <v>2146</v>
      </c>
      <c r="AD166" s="213"/>
    </row>
    <row r="167" spans="1:30" s="211" customFormat="1" x14ac:dyDescent="0.25">
      <c r="A167" s="211" t="s">
        <v>117</v>
      </c>
      <c r="B167" s="211">
        <v>371</v>
      </c>
      <c r="C167" s="211" t="s">
        <v>226</v>
      </c>
      <c r="D167" s="211">
        <v>191899853</v>
      </c>
      <c r="E167" s="211">
        <v>1060</v>
      </c>
      <c r="F167" s="211">
        <v>1274</v>
      </c>
      <c r="G167" s="211">
        <v>1004</v>
      </c>
      <c r="I167" s="211" t="s">
        <v>2259</v>
      </c>
      <c r="J167" s="212" t="s">
        <v>638</v>
      </c>
      <c r="K167" s="211" t="s">
        <v>524</v>
      </c>
      <c r="L167" s="211" t="s">
        <v>2269</v>
      </c>
      <c r="AD167" s="213"/>
    </row>
    <row r="168" spans="1:30" s="211" customFormat="1" x14ac:dyDescent="0.25">
      <c r="A168" s="211" t="s">
        <v>117</v>
      </c>
      <c r="B168" s="211">
        <v>371</v>
      </c>
      <c r="C168" s="211" t="s">
        <v>226</v>
      </c>
      <c r="D168" s="211">
        <v>191899934</v>
      </c>
      <c r="E168" s="211">
        <v>1080</v>
      </c>
      <c r="F168" s="211">
        <v>1274</v>
      </c>
      <c r="G168" s="211">
        <v>1004</v>
      </c>
      <c r="I168" s="211" t="s">
        <v>2277</v>
      </c>
      <c r="J168" s="212" t="s">
        <v>638</v>
      </c>
      <c r="K168" s="211" t="s">
        <v>639</v>
      </c>
      <c r="L168" s="211" t="s">
        <v>2315</v>
      </c>
      <c r="AD168" s="213"/>
    </row>
    <row r="169" spans="1:30" s="211" customFormat="1" x14ac:dyDescent="0.25">
      <c r="A169" s="211" t="s">
        <v>117</v>
      </c>
      <c r="B169" s="211">
        <v>371</v>
      </c>
      <c r="C169" s="211" t="s">
        <v>226</v>
      </c>
      <c r="D169" s="211">
        <v>191900670</v>
      </c>
      <c r="E169" s="211">
        <v>1060</v>
      </c>
      <c r="F169" s="211">
        <v>1274</v>
      </c>
      <c r="G169" s="211">
        <v>1004</v>
      </c>
      <c r="I169" s="211" t="s">
        <v>2370</v>
      </c>
      <c r="J169" s="212" t="s">
        <v>638</v>
      </c>
      <c r="K169" s="211" t="s">
        <v>639</v>
      </c>
      <c r="L169" s="211" t="s">
        <v>2390</v>
      </c>
      <c r="AD169" s="213"/>
    </row>
    <row r="170" spans="1:30" s="211" customFormat="1" x14ac:dyDescent="0.25">
      <c r="A170" s="211" t="s">
        <v>117</v>
      </c>
      <c r="B170" s="211">
        <v>371</v>
      </c>
      <c r="C170" s="211" t="s">
        <v>226</v>
      </c>
      <c r="D170" s="211">
        <v>191910755</v>
      </c>
      <c r="E170" s="211">
        <v>1060</v>
      </c>
      <c r="F170" s="211">
        <v>1274</v>
      </c>
      <c r="G170" s="211">
        <v>1004</v>
      </c>
      <c r="I170" s="211" t="s">
        <v>2260</v>
      </c>
      <c r="J170" s="212" t="s">
        <v>638</v>
      </c>
      <c r="K170" s="211" t="s">
        <v>524</v>
      </c>
      <c r="L170" s="211" t="s">
        <v>2270</v>
      </c>
      <c r="AD170" s="213"/>
    </row>
    <row r="171" spans="1:30" s="211" customFormat="1" x14ac:dyDescent="0.25">
      <c r="A171" s="211" t="s">
        <v>117</v>
      </c>
      <c r="B171" s="211">
        <v>371</v>
      </c>
      <c r="C171" s="211" t="s">
        <v>226</v>
      </c>
      <c r="D171" s="211">
        <v>191912016</v>
      </c>
      <c r="E171" s="211">
        <v>1060</v>
      </c>
      <c r="F171" s="211">
        <v>1274</v>
      </c>
      <c r="G171" s="211">
        <v>1004</v>
      </c>
      <c r="I171" s="211" t="s">
        <v>2278</v>
      </c>
      <c r="J171" s="212" t="s">
        <v>638</v>
      </c>
      <c r="K171" s="211" t="s">
        <v>524</v>
      </c>
      <c r="L171" s="211" t="s">
        <v>2300</v>
      </c>
      <c r="AD171" s="213"/>
    </row>
    <row r="172" spans="1:30" s="211" customFormat="1" x14ac:dyDescent="0.25">
      <c r="A172" s="211" t="s">
        <v>117</v>
      </c>
      <c r="B172" s="211">
        <v>371</v>
      </c>
      <c r="C172" s="211" t="s">
        <v>226</v>
      </c>
      <c r="D172" s="211">
        <v>191912017</v>
      </c>
      <c r="E172" s="211">
        <v>1060</v>
      </c>
      <c r="F172" s="211">
        <v>1274</v>
      </c>
      <c r="G172" s="211">
        <v>1004</v>
      </c>
      <c r="I172" s="211" t="s">
        <v>2279</v>
      </c>
      <c r="J172" s="212" t="s">
        <v>638</v>
      </c>
      <c r="K172" s="211" t="s">
        <v>524</v>
      </c>
      <c r="L172" s="211" t="s">
        <v>2301</v>
      </c>
      <c r="AD172" s="213"/>
    </row>
    <row r="173" spans="1:30" s="211" customFormat="1" x14ac:dyDescent="0.25">
      <c r="A173" s="211" t="s">
        <v>117</v>
      </c>
      <c r="B173" s="211">
        <v>371</v>
      </c>
      <c r="C173" s="211" t="s">
        <v>226</v>
      </c>
      <c r="D173" s="211">
        <v>191912019</v>
      </c>
      <c r="E173" s="211">
        <v>1060</v>
      </c>
      <c r="F173" s="211">
        <v>1274</v>
      </c>
      <c r="G173" s="211">
        <v>1004</v>
      </c>
      <c r="I173" s="211" t="s">
        <v>2280</v>
      </c>
      <c r="J173" s="212" t="s">
        <v>638</v>
      </c>
      <c r="K173" s="211" t="s">
        <v>524</v>
      </c>
      <c r="L173" s="211" t="s">
        <v>2302</v>
      </c>
      <c r="AD173" s="213"/>
    </row>
    <row r="174" spans="1:30" s="211" customFormat="1" x14ac:dyDescent="0.25">
      <c r="A174" s="211" t="s">
        <v>117</v>
      </c>
      <c r="B174" s="211">
        <v>371</v>
      </c>
      <c r="C174" s="211" t="s">
        <v>226</v>
      </c>
      <c r="D174" s="211">
        <v>191912020</v>
      </c>
      <c r="E174" s="211">
        <v>1060</v>
      </c>
      <c r="F174" s="211">
        <v>1274</v>
      </c>
      <c r="G174" s="211">
        <v>1004</v>
      </c>
      <c r="I174" s="211" t="s">
        <v>2281</v>
      </c>
      <c r="J174" s="212" t="s">
        <v>638</v>
      </c>
      <c r="K174" s="211" t="s">
        <v>524</v>
      </c>
      <c r="L174" s="211" t="s">
        <v>2303</v>
      </c>
      <c r="AD174" s="213"/>
    </row>
    <row r="175" spans="1:30" s="211" customFormat="1" x14ac:dyDescent="0.25">
      <c r="A175" s="211" t="s">
        <v>117</v>
      </c>
      <c r="B175" s="211">
        <v>371</v>
      </c>
      <c r="C175" s="211" t="s">
        <v>226</v>
      </c>
      <c r="D175" s="211">
        <v>191912021</v>
      </c>
      <c r="E175" s="211">
        <v>1060</v>
      </c>
      <c r="F175" s="211">
        <v>1274</v>
      </c>
      <c r="G175" s="211">
        <v>1004</v>
      </c>
      <c r="I175" s="211" t="s">
        <v>2282</v>
      </c>
      <c r="J175" s="212" t="s">
        <v>638</v>
      </c>
      <c r="K175" s="211" t="s">
        <v>524</v>
      </c>
      <c r="L175" s="211" t="s">
        <v>2304</v>
      </c>
      <c r="AD175" s="213"/>
    </row>
    <row r="176" spans="1:30" s="211" customFormat="1" x14ac:dyDescent="0.25">
      <c r="A176" s="211" t="s">
        <v>117</v>
      </c>
      <c r="B176" s="211">
        <v>371</v>
      </c>
      <c r="C176" s="211" t="s">
        <v>226</v>
      </c>
      <c r="D176" s="211">
        <v>191912022</v>
      </c>
      <c r="E176" s="211">
        <v>1060</v>
      </c>
      <c r="F176" s="211">
        <v>1274</v>
      </c>
      <c r="G176" s="211">
        <v>1004</v>
      </c>
      <c r="I176" s="211" t="s">
        <v>2283</v>
      </c>
      <c r="J176" s="212" t="s">
        <v>638</v>
      </c>
      <c r="K176" s="211" t="s">
        <v>524</v>
      </c>
      <c r="L176" s="211" t="s">
        <v>2305</v>
      </c>
      <c r="AD176" s="213"/>
    </row>
    <row r="177" spans="1:30" s="211" customFormat="1" x14ac:dyDescent="0.25">
      <c r="A177" s="211" t="s">
        <v>117</v>
      </c>
      <c r="B177" s="211">
        <v>371</v>
      </c>
      <c r="C177" s="211" t="s">
        <v>226</v>
      </c>
      <c r="D177" s="211">
        <v>191912023</v>
      </c>
      <c r="E177" s="211">
        <v>1060</v>
      </c>
      <c r="F177" s="211">
        <v>1274</v>
      </c>
      <c r="G177" s="211">
        <v>1004</v>
      </c>
      <c r="I177" s="211" t="s">
        <v>2284</v>
      </c>
      <c r="J177" s="212" t="s">
        <v>638</v>
      </c>
      <c r="K177" s="211" t="s">
        <v>524</v>
      </c>
      <c r="L177" s="211" t="s">
        <v>2306</v>
      </c>
      <c r="AD177" s="213"/>
    </row>
    <row r="178" spans="1:30" s="211" customFormat="1" x14ac:dyDescent="0.25">
      <c r="A178" s="211" t="s">
        <v>117</v>
      </c>
      <c r="B178" s="211">
        <v>371</v>
      </c>
      <c r="C178" s="211" t="s">
        <v>226</v>
      </c>
      <c r="D178" s="211">
        <v>191912024</v>
      </c>
      <c r="E178" s="211">
        <v>1060</v>
      </c>
      <c r="F178" s="211">
        <v>1274</v>
      </c>
      <c r="G178" s="211">
        <v>1004</v>
      </c>
      <c r="I178" s="211" t="s">
        <v>2285</v>
      </c>
      <c r="J178" s="212" t="s">
        <v>638</v>
      </c>
      <c r="K178" s="211" t="s">
        <v>524</v>
      </c>
      <c r="L178" s="211" t="s">
        <v>2307</v>
      </c>
      <c r="AD178" s="213"/>
    </row>
    <row r="179" spans="1:30" s="211" customFormat="1" x14ac:dyDescent="0.25">
      <c r="A179" s="211" t="s">
        <v>117</v>
      </c>
      <c r="B179" s="211">
        <v>371</v>
      </c>
      <c r="C179" s="211" t="s">
        <v>226</v>
      </c>
      <c r="D179" s="211">
        <v>191912025</v>
      </c>
      <c r="E179" s="211">
        <v>1060</v>
      </c>
      <c r="F179" s="211">
        <v>1274</v>
      </c>
      <c r="G179" s="211">
        <v>1004</v>
      </c>
      <c r="I179" s="211" t="s">
        <v>2286</v>
      </c>
      <c r="J179" s="212" t="s">
        <v>638</v>
      </c>
      <c r="K179" s="211" t="s">
        <v>524</v>
      </c>
      <c r="L179" s="211" t="s">
        <v>2308</v>
      </c>
      <c r="AD179" s="213"/>
    </row>
    <row r="180" spans="1:30" s="211" customFormat="1" x14ac:dyDescent="0.25">
      <c r="A180" s="211" t="s">
        <v>117</v>
      </c>
      <c r="B180" s="211">
        <v>371</v>
      </c>
      <c r="C180" s="211" t="s">
        <v>226</v>
      </c>
      <c r="D180" s="211">
        <v>191912027</v>
      </c>
      <c r="E180" s="211">
        <v>1060</v>
      </c>
      <c r="F180" s="211">
        <v>1274</v>
      </c>
      <c r="G180" s="211">
        <v>1004</v>
      </c>
      <c r="I180" s="211" t="s">
        <v>2287</v>
      </c>
      <c r="J180" s="212" t="s">
        <v>638</v>
      </c>
      <c r="K180" s="211" t="s">
        <v>524</v>
      </c>
      <c r="L180" s="211" t="s">
        <v>2309</v>
      </c>
      <c r="AD180" s="213"/>
    </row>
    <row r="181" spans="1:30" s="211" customFormat="1" x14ac:dyDescent="0.25">
      <c r="A181" s="211" t="s">
        <v>117</v>
      </c>
      <c r="B181" s="211">
        <v>371</v>
      </c>
      <c r="C181" s="211" t="s">
        <v>226</v>
      </c>
      <c r="D181" s="211">
        <v>191912031</v>
      </c>
      <c r="E181" s="211">
        <v>1060</v>
      </c>
      <c r="F181" s="211">
        <v>1274</v>
      </c>
      <c r="G181" s="211">
        <v>1004</v>
      </c>
      <c r="I181" s="211" t="s">
        <v>2288</v>
      </c>
      <c r="J181" s="212" t="s">
        <v>638</v>
      </c>
      <c r="K181" s="211" t="s">
        <v>524</v>
      </c>
      <c r="L181" s="211" t="s">
        <v>2310</v>
      </c>
      <c r="AD181" s="213"/>
    </row>
    <row r="182" spans="1:30" s="211" customFormat="1" x14ac:dyDescent="0.25">
      <c r="A182" s="211" t="s">
        <v>117</v>
      </c>
      <c r="B182" s="211">
        <v>371</v>
      </c>
      <c r="C182" s="211" t="s">
        <v>226</v>
      </c>
      <c r="D182" s="211">
        <v>191912032</v>
      </c>
      <c r="E182" s="211">
        <v>1060</v>
      </c>
      <c r="F182" s="211">
        <v>1274</v>
      </c>
      <c r="G182" s="211">
        <v>1004</v>
      </c>
      <c r="I182" s="211" t="s">
        <v>2289</v>
      </c>
      <c r="J182" s="212" t="s">
        <v>638</v>
      </c>
      <c r="K182" s="211" t="s">
        <v>524</v>
      </c>
      <c r="L182" s="211" t="s">
        <v>2311</v>
      </c>
      <c r="AD182" s="213"/>
    </row>
    <row r="183" spans="1:30" s="211" customFormat="1" x14ac:dyDescent="0.25">
      <c r="A183" s="211" t="s">
        <v>117</v>
      </c>
      <c r="B183" s="211">
        <v>371</v>
      </c>
      <c r="C183" s="211" t="s">
        <v>226</v>
      </c>
      <c r="D183" s="211">
        <v>191912708</v>
      </c>
      <c r="E183" s="211">
        <v>1060</v>
      </c>
      <c r="F183" s="211">
        <v>1242</v>
      </c>
      <c r="G183" s="211">
        <v>1004</v>
      </c>
      <c r="I183" s="211" t="s">
        <v>2261</v>
      </c>
      <c r="J183" s="212" t="s">
        <v>638</v>
      </c>
      <c r="K183" s="211" t="s">
        <v>639</v>
      </c>
      <c r="L183" s="211" t="s">
        <v>2503</v>
      </c>
      <c r="AD183" s="213"/>
    </row>
    <row r="184" spans="1:30" s="211" customFormat="1" x14ac:dyDescent="0.25">
      <c r="A184" s="211" t="s">
        <v>117</v>
      </c>
      <c r="B184" s="211">
        <v>371</v>
      </c>
      <c r="C184" s="211" t="s">
        <v>226</v>
      </c>
      <c r="D184" s="211">
        <v>191929291</v>
      </c>
      <c r="E184" s="211">
        <v>1060</v>
      </c>
      <c r="F184" s="211">
        <v>1252</v>
      </c>
      <c r="G184" s="211">
        <v>1004</v>
      </c>
      <c r="I184" s="211" t="s">
        <v>2129</v>
      </c>
      <c r="J184" s="212" t="s">
        <v>638</v>
      </c>
      <c r="K184" s="211" t="s">
        <v>639</v>
      </c>
      <c r="L184" s="211" t="s">
        <v>2147</v>
      </c>
      <c r="AD184" s="213"/>
    </row>
    <row r="185" spans="1:30" s="211" customFormat="1" x14ac:dyDescent="0.25">
      <c r="A185" s="211" t="s">
        <v>117</v>
      </c>
      <c r="B185" s="211">
        <v>371</v>
      </c>
      <c r="C185" s="211" t="s">
        <v>226</v>
      </c>
      <c r="D185" s="211">
        <v>191936897</v>
      </c>
      <c r="E185" s="211">
        <v>1060</v>
      </c>
      <c r="F185" s="211">
        <v>1241</v>
      </c>
      <c r="G185" s="211">
        <v>1004</v>
      </c>
      <c r="I185" s="211" t="s">
        <v>2473</v>
      </c>
      <c r="J185" s="212" t="s">
        <v>638</v>
      </c>
      <c r="K185" s="211" t="s">
        <v>524</v>
      </c>
      <c r="L185" s="211" t="s">
        <v>2496</v>
      </c>
      <c r="AD185" s="213"/>
    </row>
    <row r="186" spans="1:30" s="211" customFormat="1" x14ac:dyDescent="0.25">
      <c r="A186" s="211" t="s">
        <v>117</v>
      </c>
      <c r="B186" s="211">
        <v>371</v>
      </c>
      <c r="C186" s="211" t="s">
        <v>226</v>
      </c>
      <c r="D186" s="211">
        <v>191936951</v>
      </c>
      <c r="E186" s="211">
        <v>1060</v>
      </c>
      <c r="F186" s="211">
        <v>1274</v>
      </c>
      <c r="G186" s="211">
        <v>1004</v>
      </c>
      <c r="I186" s="211" t="s">
        <v>2474</v>
      </c>
      <c r="J186" s="212" t="s">
        <v>638</v>
      </c>
      <c r="K186" s="211" t="s">
        <v>524</v>
      </c>
      <c r="L186" s="211" t="s">
        <v>2497</v>
      </c>
      <c r="AD186" s="213"/>
    </row>
    <row r="187" spans="1:30" s="211" customFormat="1" x14ac:dyDescent="0.25">
      <c r="A187" s="211" t="s">
        <v>117</v>
      </c>
      <c r="B187" s="211">
        <v>371</v>
      </c>
      <c r="C187" s="211" t="s">
        <v>226</v>
      </c>
      <c r="D187" s="211">
        <v>191938029</v>
      </c>
      <c r="E187" s="211">
        <v>1060</v>
      </c>
      <c r="F187" s="211">
        <v>1274</v>
      </c>
      <c r="G187" s="211">
        <v>1004</v>
      </c>
      <c r="I187" s="211" t="s">
        <v>2290</v>
      </c>
      <c r="J187" s="212" t="s">
        <v>638</v>
      </c>
      <c r="K187" s="211" t="s">
        <v>524</v>
      </c>
      <c r="L187" s="211" t="s">
        <v>2312</v>
      </c>
      <c r="AD187" s="213"/>
    </row>
    <row r="188" spans="1:30" s="211" customFormat="1" x14ac:dyDescent="0.25">
      <c r="A188" s="211" t="s">
        <v>117</v>
      </c>
      <c r="B188" s="211">
        <v>371</v>
      </c>
      <c r="C188" s="211" t="s">
        <v>226</v>
      </c>
      <c r="D188" s="211">
        <v>191942396</v>
      </c>
      <c r="E188" s="211">
        <v>1060</v>
      </c>
      <c r="F188" s="211">
        <v>1252</v>
      </c>
      <c r="G188" s="211">
        <v>1004</v>
      </c>
      <c r="I188" s="211" t="s">
        <v>2393</v>
      </c>
      <c r="J188" s="212" t="s">
        <v>638</v>
      </c>
      <c r="K188" s="211" t="s">
        <v>524</v>
      </c>
      <c r="L188" s="211" t="s">
        <v>2432</v>
      </c>
      <c r="AD188" s="213"/>
    </row>
    <row r="189" spans="1:30" s="211" customFormat="1" x14ac:dyDescent="0.25">
      <c r="A189" s="211" t="s">
        <v>117</v>
      </c>
      <c r="B189" s="211">
        <v>371</v>
      </c>
      <c r="C189" s="211" t="s">
        <v>226</v>
      </c>
      <c r="D189" s="211">
        <v>191958002</v>
      </c>
      <c r="E189" s="211">
        <v>1060</v>
      </c>
      <c r="F189" s="211">
        <v>1242</v>
      </c>
      <c r="G189" s="211">
        <v>1004</v>
      </c>
      <c r="I189" s="211" t="s">
        <v>2262</v>
      </c>
      <c r="J189" s="212" t="s">
        <v>638</v>
      </c>
      <c r="K189" s="211" t="s">
        <v>639</v>
      </c>
      <c r="L189" s="211" t="s">
        <v>2274</v>
      </c>
      <c r="AD189" s="213"/>
    </row>
    <row r="190" spans="1:30" s="211" customFormat="1" x14ac:dyDescent="0.25">
      <c r="A190" s="211" t="s">
        <v>117</v>
      </c>
      <c r="B190" s="211">
        <v>371</v>
      </c>
      <c r="C190" s="211" t="s">
        <v>226</v>
      </c>
      <c r="D190" s="211">
        <v>191964860</v>
      </c>
      <c r="E190" s="211">
        <v>1060</v>
      </c>
      <c r="F190" s="211">
        <v>1274</v>
      </c>
      <c r="G190" s="211">
        <v>1004</v>
      </c>
      <c r="I190" s="211" t="s">
        <v>805</v>
      </c>
      <c r="J190" s="212" t="s">
        <v>638</v>
      </c>
      <c r="K190" s="211" t="s">
        <v>645</v>
      </c>
      <c r="L190" s="211" t="s">
        <v>3572</v>
      </c>
      <c r="AD190" s="213"/>
    </row>
    <row r="191" spans="1:30" s="211" customFormat="1" x14ac:dyDescent="0.25">
      <c r="A191" s="211" t="s">
        <v>117</v>
      </c>
      <c r="B191" s="211">
        <v>371</v>
      </c>
      <c r="C191" s="211" t="s">
        <v>226</v>
      </c>
      <c r="D191" s="211">
        <v>191991320</v>
      </c>
      <c r="E191" s="211">
        <v>1080</v>
      </c>
      <c r="F191" s="211">
        <v>1242</v>
      </c>
      <c r="G191" s="211">
        <v>1004</v>
      </c>
      <c r="I191" s="211" t="s">
        <v>3609</v>
      </c>
      <c r="J191" s="212" t="s">
        <v>638</v>
      </c>
      <c r="K191" s="211" t="s">
        <v>524</v>
      </c>
      <c r="L191" s="211" t="s">
        <v>3689</v>
      </c>
      <c r="AD191" s="213"/>
    </row>
    <row r="192" spans="1:30" s="211" customFormat="1" x14ac:dyDescent="0.25">
      <c r="A192" s="211" t="s">
        <v>117</v>
      </c>
      <c r="B192" s="211">
        <v>371</v>
      </c>
      <c r="C192" s="211" t="s">
        <v>226</v>
      </c>
      <c r="D192" s="211">
        <v>192023681</v>
      </c>
      <c r="E192" s="211">
        <v>1080</v>
      </c>
      <c r="F192" s="211">
        <v>1242</v>
      </c>
      <c r="G192" s="211">
        <v>1004</v>
      </c>
      <c r="I192" s="211" t="s">
        <v>2157</v>
      </c>
      <c r="J192" s="212" t="s">
        <v>638</v>
      </c>
      <c r="K192" s="211" t="s">
        <v>639</v>
      </c>
      <c r="L192" s="211" t="s">
        <v>2171</v>
      </c>
      <c r="AD192" s="213"/>
    </row>
    <row r="193" spans="1:30" s="211" customFormat="1" x14ac:dyDescent="0.25">
      <c r="A193" s="211" t="s">
        <v>117</v>
      </c>
      <c r="B193" s="211">
        <v>371</v>
      </c>
      <c r="C193" s="211" t="s">
        <v>226</v>
      </c>
      <c r="D193" s="211">
        <v>192049309</v>
      </c>
      <c r="E193" s="211">
        <v>1060</v>
      </c>
      <c r="F193" s="211">
        <v>1265</v>
      </c>
      <c r="G193" s="211">
        <v>1003</v>
      </c>
      <c r="I193" s="211" t="s">
        <v>3365</v>
      </c>
      <c r="J193" s="212" t="s">
        <v>638</v>
      </c>
      <c r="K193" s="211" t="s">
        <v>524</v>
      </c>
      <c r="L193" s="211" t="s">
        <v>3406</v>
      </c>
      <c r="AD193" s="213"/>
    </row>
    <row r="194" spans="1:30" s="211" customFormat="1" x14ac:dyDescent="0.25">
      <c r="A194" s="211" t="s">
        <v>117</v>
      </c>
      <c r="B194" s="211">
        <v>372</v>
      </c>
      <c r="C194" s="211" t="s">
        <v>227</v>
      </c>
      <c r="D194" s="211">
        <v>1297220</v>
      </c>
      <c r="E194" s="211">
        <v>1020</v>
      </c>
      <c r="F194" s="211">
        <v>1121</v>
      </c>
      <c r="G194" s="211">
        <v>1004</v>
      </c>
      <c r="I194" s="211" t="s">
        <v>2048</v>
      </c>
      <c r="J194" s="212" t="s">
        <v>638</v>
      </c>
      <c r="K194" s="211" t="s">
        <v>524</v>
      </c>
      <c r="L194" s="211" t="s">
        <v>2058</v>
      </c>
      <c r="AD194" s="213"/>
    </row>
    <row r="195" spans="1:30" s="211" customFormat="1" x14ac:dyDescent="0.25">
      <c r="A195" s="211" t="s">
        <v>117</v>
      </c>
      <c r="B195" s="211">
        <v>372</v>
      </c>
      <c r="C195" s="211" t="s">
        <v>227</v>
      </c>
      <c r="D195" s="211">
        <v>191891088</v>
      </c>
      <c r="E195" s="211">
        <v>1080</v>
      </c>
      <c r="F195" s="211">
        <v>1242</v>
      </c>
      <c r="G195" s="211">
        <v>1004</v>
      </c>
      <c r="I195" s="211" t="s">
        <v>1846</v>
      </c>
      <c r="J195" s="212" t="s">
        <v>638</v>
      </c>
      <c r="K195" s="211" t="s">
        <v>524</v>
      </c>
      <c r="L195" s="211" t="s">
        <v>1886</v>
      </c>
      <c r="AD195" s="213"/>
    </row>
    <row r="196" spans="1:30" s="211" customFormat="1" x14ac:dyDescent="0.25">
      <c r="A196" s="211" t="s">
        <v>117</v>
      </c>
      <c r="B196" s="211">
        <v>381</v>
      </c>
      <c r="C196" s="211" t="s">
        <v>228</v>
      </c>
      <c r="D196" s="211">
        <v>191971374</v>
      </c>
      <c r="E196" s="211">
        <v>1060</v>
      </c>
      <c r="F196" s="211">
        <v>1242</v>
      </c>
      <c r="G196" s="211">
        <v>1004</v>
      </c>
      <c r="I196" s="211" t="s">
        <v>2158</v>
      </c>
      <c r="J196" s="212" t="s">
        <v>638</v>
      </c>
      <c r="K196" s="211" t="s">
        <v>524</v>
      </c>
      <c r="L196" s="211" t="s">
        <v>2167</v>
      </c>
      <c r="AD196" s="213"/>
    </row>
    <row r="197" spans="1:30" s="211" customFormat="1" x14ac:dyDescent="0.25">
      <c r="A197" s="211" t="s">
        <v>117</v>
      </c>
      <c r="B197" s="211">
        <v>381</v>
      </c>
      <c r="C197" s="211" t="s">
        <v>228</v>
      </c>
      <c r="D197" s="211">
        <v>502066160</v>
      </c>
      <c r="E197" s="211">
        <v>1060</v>
      </c>
      <c r="F197" s="211">
        <v>1242</v>
      </c>
      <c r="G197" s="211">
        <v>1004</v>
      </c>
      <c r="I197" s="211" t="s">
        <v>3769</v>
      </c>
      <c r="J197" s="212" t="s">
        <v>638</v>
      </c>
      <c r="K197" s="211" t="s">
        <v>524</v>
      </c>
      <c r="L197" s="211" t="s">
        <v>3815</v>
      </c>
      <c r="AD197" s="213"/>
    </row>
    <row r="198" spans="1:30" s="211" customFormat="1" x14ac:dyDescent="0.25">
      <c r="A198" s="211" t="s">
        <v>117</v>
      </c>
      <c r="B198" s="211">
        <v>382</v>
      </c>
      <c r="C198" s="211" t="s">
        <v>229</v>
      </c>
      <c r="D198" s="211">
        <v>191978193</v>
      </c>
      <c r="E198" s="211">
        <v>1080</v>
      </c>
      <c r="F198" s="211">
        <v>1274</v>
      </c>
      <c r="G198" s="211">
        <v>1004</v>
      </c>
      <c r="I198" s="211" t="s">
        <v>1772</v>
      </c>
      <c r="J198" s="212" t="s">
        <v>638</v>
      </c>
      <c r="K198" s="211" t="s">
        <v>524</v>
      </c>
      <c r="L198" s="211" t="s">
        <v>1777</v>
      </c>
      <c r="AD198" s="213"/>
    </row>
    <row r="199" spans="1:30" s="211" customFormat="1" x14ac:dyDescent="0.25">
      <c r="A199" s="211" t="s">
        <v>117</v>
      </c>
      <c r="B199" s="211">
        <v>382</v>
      </c>
      <c r="C199" s="211" t="s">
        <v>229</v>
      </c>
      <c r="D199" s="211">
        <v>192033150</v>
      </c>
      <c r="E199" s="211">
        <v>1080</v>
      </c>
      <c r="F199" s="211">
        <v>1242</v>
      </c>
      <c r="G199" s="211">
        <v>1004</v>
      </c>
      <c r="I199" s="211" t="s">
        <v>3610</v>
      </c>
      <c r="J199" s="212" t="s">
        <v>638</v>
      </c>
      <c r="K199" s="211" t="s">
        <v>639</v>
      </c>
      <c r="L199" s="211" t="s">
        <v>3749</v>
      </c>
      <c r="AD199" s="213"/>
    </row>
    <row r="200" spans="1:30" s="211" customFormat="1" x14ac:dyDescent="0.25">
      <c r="A200" s="211" t="s">
        <v>117</v>
      </c>
      <c r="B200" s="211">
        <v>386</v>
      </c>
      <c r="C200" s="211" t="s">
        <v>232</v>
      </c>
      <c r="D200" s="211">
        <v>192011040</v>
      </c>
      <c r="E200" s="211">
        <v>1080</v>
      </c>
      <c r="F200" s="211">
        <v>1271</v>
      </c>
      <c r="G200" s="211">
        <v>1003</v>
      </c>
      <c r="I200" s="211" t="s">
        <v>1773</v>
      </c>
      <c r="J200" s="212" t="s">
        <v>638</v>
      </c>
      <c r="K200" s="211" t="s">
        <v>639</v>
      </c>
      <c r="L200" s="211" t="s">
        <v>1707</v>
      </c>
      <c r="AD200" s="213"/>
    </row>
    <row r="201" spans="1:30" s="211" customFormat="1" x14ac:dyDescent="0.25">
      <c r="A201" s="211" t="s">
        <v>117</v>
      </c>
      <c r="B201" s="211">
        <v>387</v>
      </c>
      <c r="C201" s="211" t="s">
        <v>233</v>
      </c>
      <c r="D201" s="211">
        <v>190202195</v>
      </c>
      <c r="E201" s="211">
        <v>1080</v>
      </c>
      <c r="G201" s="211">
        <v>1004</v>
      </c>
      <c r="I201" s="211" t="s">
        <v>1438</v>
      </c>
      <c r="J201" s="212" t="s">
        <v>638</v>
      </c>
      <c r="K201" s="211" t="s">
        <v>524</v>
      </c>
      <c r="L201" s="211" t="s">
        <v>1462</v>
      </c>
      <c r="AD201" s="213"/>
    </row>
    <row r="202" spans="1:30" s="211" customFormat="1" x14ac:dyDescent="0.25">
      <c r="A202" s="211" t="s">
        <v>117</v>
      </c>
      <c r="B202" s="211">
        <v>387</v>
      </c>
      <c r="C202" s="211" t="s">
        <v>233</v>
      </c>
      <c r="D202" s="211">
        <v>192039877</v>
      </c>
      <c r="E202" s="211">
        <v>1080</v>
      </c>
      <c r="F202" s="211">
        <v>1242</v>
      </c>
      <c r="G202" s="211">
        <v>1003</v>
      </c>
      <c r="I202" s="211" t="s">
        <v>2709</v>
      </c>
      <c r="J202" s="212" t="s">
        <v>638</v>
      </c>
      <c r="K202" s="211" t="s">
        <v>524</v>
      </c>
      <c r="L202" s="211" t="s">
        <v>2731</v>
      </c>
      <c r="AD202" s="213"/>
    </row>
    <row r="203" spans="1:30" s="211" customFormat="1" x14ac:dyDescent="0.25">
      <c r="A203" s="211" t="s">
        <v>117</v>
      </c>
      <c r="B203" s="211">
        <v>387</v>
      </c>
      <c r="C203" s="211" t="s">
        <v>233</v>
      </c>
      <c r="D203" s="211">
        <v>192052131</v>
      </c>
      <c r="E203" s="211">
        <v>1080</v>
      </c>
      <c r="G203" s="211">
        <v>1004</v>
      </c>
      <c r="I203" s="211" t="s">
        <v>3770</v>
      </c>
      <c r="J203" s="212" t="s">
        <v>638</v>
      </c>
      <c r="K203" s="211" t="s">
        <v>524</v>
      </c>
      <c r="L203" s="211" t="s">
        <v>3816</v>
      </c>
      <c r="AD203" s="213"/>
    </row>
    <row r="204" spans="1:30" s="211" customFormat="1" x14ac:dyDescent="0.25">
      <c r="A204" s="211" t="s">
        <v>117</v>
      </c>
      <c r="B204" s="211">
        <v>387</v>
      </c>
      <c r="C204" s="211" t="s">
        <v>233</v>
      </c>
      <c r="D204" s="211">
        <v>504028155</v>
      </c>
      <c r="E204" s="211">
        <v>1060</v>
      </c>
      <c r="F204" s="211">
        <v>1252</v>
      </c>
      <c r="G204" s="211">
        <v>1004</v>
      </c>
      <c r="I204" s="211" t="s">
        <v>3366</v>
      </c>
      <c r="J204" s="212" t="s">
        <v>638</v>
      </c>
      <c r="K204" s="211" t="s">
        <v>524</v>
      </c>
      <c r="L204" s="211" t="s">
        <v>3407</v>
      </c>
      <c r="AD204" s="213"/>
    </row>
    <row r="205" spans="1:30" s="211" customFormat="1" x14ac:dyDescent="0.25">
      <c r="A205" s="211" t="s">
        <v>117</v>
      </c>
      <c r="B205" s="211">
        <v>387</v>
      </c>
      <c r="C205" s="211" t="s">
        <v>233</v>
      </c>
      <c r="D205" s="211">
        <v>504028234</v>
      </c>
      <c r="E205" s="211">
        <v>1060</v>
      </c>
      <c r="G205" s="211">
        <v>1004</v>
      </c>
      <c r="I205" s="211" t="s">
        <v>3367</v>
      </c>
      <c r="J205" s="212" t="s">
        <v>638</v>
      </c>
      <c r="K205" s="211" t="s">
        <v>524</v>
      </c>
      <c r="L205" s="211" t="s">
        <v>3408</v>
      </c>
      <c r="AD205" s="213"/>
    </row>
    <row r="206" spans="1:30" s="211" customFormat="1" x14ac:dyDescent="0.25">
      <c r="A206" s="211" t="s">
        <v>117</v>
      </c>
      <c r="B206" s="211">
        <v>388</v>
      </c>
      <c r="C206" s="211" t="s">
        <v>234</v>
      </c>
      <c r="D206" s="211">
        <v>191952381</v>
      </c>
      <c r="E206" s="211">
        <v>1060</v>
      </c>
      <c r="F206" s="211">
        <v>1271</v>
      </c>
      <c r="G206" s="211">
        <v>1004</v>
      </c>
      <c r="I206" s="211" t="s">
        <v>1549</v>
      </c>
      <c r="J206" s="212" t="s">
        <v>638</v>
      </c>
      <c r="K206" s="211" t="s">
        <v>524</v>
      </c>
      <c r="L206" s="211" t="s">
        <v>1564</v>
      </c>
      <c r="AD206" s="213"/>
    </row>
    <row r="207" spans="1:30" s="211" customFormat="1" x14ac:dyDescent="0.25">
      <c r="A207" s="211" t="s">
        <v>117</v>
      </c>
      <c r="B207" s="211">
        <v>388</v>
      </c>
      <c r="C207" s="211" t="s">
        <v>234</v>
      </c>
      <c r="D207" s="211">
        <v>191958243</v>
      </c>
      <c r="E207" s="211">
        <v>1060</v>
      </c>
      <c r="F207" s="211">
        <v>1242</v>
      </c>
      <c r="G207" s="211">
        <v>1004</v>
      </c>
      <c r="I207" s="211" t="s">
        <v>1798</v>
      </c>
      <c r="J207" s="212" t="s">
        <v>638</v>
      </c>
      <c r="K207" s="211" t="s">
        <v>639</v>
      </c>
      <c r="L207" s="211" t="s">
        <v>1825</v>
      </c>
      <c r="AD207" s="213"/>
    </row>
    <row r="208" spans="1:30" s="211" customFormat="1" x14ac:dyDescent="0.25">
      <c r="A208" s="211" t="s">
        <v>117</v>
      </c>
      <c r="B208" s="211">
        <v>388</v>
      </c>
      <c r="C208" s="211" t="s">
        <v>234</v>
      </c>
      <c r="D208" s="211">
        <v>191958331</v>
      </c>
      <c r="E208" s="211">
        <v>1080</v>
      </c>
      <c r="F208" s="211">
        <v>1242</v>
      </c>
      <c r="G208" s="211">
        <v>1004</v>
      </c>
      <c r="I208" s="211" t="s">
        <v>1799</v>
      </c>
      <c r="J208" s="212" t="s">
        <v>638</v>
      </c>
      <c r="K208" s="211" t="s">
        <v>524</v>
      </c>
      <c r="L208" s="211" t="s">
        <v>1816</v>
      </c>
      <c r="AD208" s="213"/>
    </row>
    <row r="209" spans="1:30" s="211" customFormat="1" x14ac:dyDescent="0.25">
      <c r="A209" s="211" t="s">
        <v>117</v>
      </c>
      <c r="B209" s="211">
        <v>388</v>
      </c>
      <c r="C209" s="211" t="s">
        <v>234</v>
      </c>
      <c r="D209" s="211">
        <v>191978789</v>
      </c>
      <c r="E209" s="211">
        <v>1020</v>
      </c>
      <c r="F209" s="211">
        <v>1110</v>
      </c>
      <c r="G209" s="211">
        <v>1004</v>
      </c>
      <c r="I209" s="211" t="s">
        <v>2579</v>
      </c>
      <c r="J209" s="212" t="s">
        <v>638</v>
      </c>
      <c r="K209" s="211" t="s">
        <v>524</v>
      </c>
      <c r="L209" s="211" t="s">
        <v>2587</v>
      </c>
      <c r="AD209" s="213"/>
    </row>
    <row r="210" spans="1:30" s="211" customFormat="1" x14ac:dyDescent="0.25">
      <c r="A210" s="211" t="s">
        <v>117</v>
      </c>
      <c r="B210" s="211">
        <v>388</v>
      </c>
      <c r="C210" s="211" t="s">
        <v>234</v>
      </c>
      <c r="D210" s="211">
        <v>191994451</v>
      </c>
      <c r="E210" s="211">
        <v>1020</v>
      </c>
      <c r="F210" s="211">
        <v>1110</v>
      </c>
      <c r="G210" s="211">
        <v>1004</v>
      </c>
      <c r="I210" s="211" t="s">
        <v>1550</v>
      </c>
      <c r="J210" s="212" t="s">
        <v>638</v>
      </c>
      <c r="K210" s="211" t="s">
        <v>524</v>
      </c>
      <c r="L210" s="211" t="s">
        <v>1565</v>
      </c>
      <c r="AD210" s="213"/>
    </row>
    <row r="211" spans="1:30" s="211" customFormat="1" x14ac:dyDescent="0.25">
      <c r="A211" s="211" t="s">
        <v>117</v>
      </c>
      <c r="B211" s="211">
        <v>388</v>
      </c>
      <c r="C211" s="211" t="s">
        <v>234</v>
      </c>
      <c r="D211" s="211">
        <v>192008019</v>
      </c>
      <c r="E211" s="211">
        <v>1060</v>
      </c>
      <c r="F211" s="211">
        <v>1242</v>
      </c>
      <c r="G211" s="211">
        <v>1004</v>
      </c>
      <c r="I211" s="211" t="s">
        <v>1672</v>
      </c>
      <c r="J211" s="212" t="s">
        <v>638</v>
      </c>
      <c r="K211" s="211" t="s">
        <v>639</v>
      </c>
      <c r="L211" s="211" t="s">
        <v>1682</v>
      </c>
      <c r="AD211" s="213"/>
    </row>
    <row r="212" spans="1:30" s="211" customFormat="1" x14ac:dyDescent="0.25">
      <c r="A212" s="211" t="s">
        <v>117</v>
      </c>
      <c r="B212" s="211">
        <v>388</v>
      </c>
      <c r="C212" s="211" t="s">
        <v>234</v>
      </c>
      <c r="D212" s="211">
        <v>502066677</v>
      </c>
      <c r="E212" s="211">
        <v>1060</v>
      </c>
      <c r="F212" s="211">
        <v>1274</v>
      </c>
      <c r="G212" s="211">
        <v>1004</v>
      </c>
      <c r="I212" s="211" t="s">
        <v>3368</v>
      </c>
      <c r="J212" s="212" t="s">
        <v>638</v>
      </c>
      <c r="K212" s="211" t="s">
        <v>524</v>
      </c>
      <c r="L212" s="211" t="s">
        <v>3409</v>
      </c>
      <c r="AD212" s="213"/>
    </row>
    <row r="213" spans="1:30" s="211" customFormat="1" x14ac:dyDescent="0.25">
      <c r="A213" s="211" t="s">
        <v>117</v>
      </c>
      <c r="B213" s="211">
        <v>388</v>
      </c>
      <c r="C213" s="211" t="s">
        <v>234</v>
      </c>
      <c r="D213" s="211">
        <v>502066678</v>
      </c>
      <c r="E213" s="211">
        <v>1060</v>
      </c>
      <c r="F213" s="211">
        <v>1271</v>
      </c>
      <c r="G213" s="211">
        <v>1004</v>
      </c>
      <c r="I213" s="211" t="s">
        <v>3369</v>
      </c>
      <c r="J213" s="212" t="s">
        <v>638</v>
      </c>
      <c r="K213" s="211" t="s">
        <v>524</v>
      </c>
      <c r="L213" s="211" t="s">
        <v>3410</v>
      </c>
      <c r="AD213" s="213"/>
    </row>
    <row r="214" spans="1:30" s="211" customFormat="1" x14ac:dyDescent="0.25">
      <c r="A214" s="211" t="s">
        <v>117</v>
      </c>
      <c r="B214" s="211">
        <v>390</v>
      </c>
      <c r="C214" s="211" t="s">
        <v>236</v>
      </c>
      <c r="D214" s="211">
        <v>191903559</v>
      </c>
      <c r="E214" s="211">
        <v>1060</v>
      </c>
      <c r="F214" s="211">
        <v>1242</v>
      </c>
      <c r="G214" s="211">
        <v>1004</v>
      </c>
      <c r="I214" s="211" t="s">
        <v>3541</v>
      </c>
      <c r="J214" s="212" t="s">
        <v>638</v>
      </c>
      <c r="K214" s="211" t="s">
        <v>524</v>
      </c>
      <c r="L214" s="211" t="s">
        <v>3578</v>
      </c>
      <c r="AD214" s="213"/>
    </row>
    <row r="215" spans="1:30" s="211" customFormat="1" x14ac:dyDescent="0.25">
      <c r="A215" s="211" t="s">
        <v>117</v>
      </c>
      <c r="B215" s="211">
        <v>390</v>
      </c>
      <c r="C215" s="211" t="s">
        <v>236</v>
      </c>
      <c r="D215" s="211">
        <v>191946987</v>
      </c>
      <c r="E215" s="211">
        <v>1060</v>
      </c>
      <c r="F215" s="211">
        <v>1274</v>
      </c>
      <c r="G215" s="211">
        <v>1003</v>
      </c>
      <c r="I215" s="211" t="s">
        <v>1618</v>
      </c>
      <c r="J215" s="212" t="s">
        <v>638</v>
      </c>
      <c r="K215" s="211" t="s">
        <v>639</v>
      </c>
      <c r="L215" s="211" t="s">
        <v>1621</v>
      </c>
      <c r="AD215" s="213"/>
    </row>
    <row r="216" spans="1:30" s="211" customFormat="1" x14ac:dyDescent="0.25">
      <c r="A216" s="211" t="s">
        <v>117</v>
      </c>
      <c r="B216" s="211">
        <v>390</v>
      </c>
      <c r="C216" s="211" t="s">
        <v>236</v>
      </c>
      <c r="D216" s="211">
        <v>191960455</v>
      </c>
      <c r="E216" s="211">
        <v>1080</v>
      </c>
      <c r="F216" s="211">
        <v>1242</v>
      </c>
      <c r="G216" s="211">
        <v>1004</v>
      </c>
      <c r="I216" s="211" t="s">
        <v>1619</v>
      </c>
      <c r="J216" s="212" t="s">
        <v>638</v>
      </c>
      <c r="K216" s="211" t="s">
        <v>524</v>
      </c>
      <c r="L216" s="211" t="s">
        <v>1620</v>
      </c>
      <c r="AD216" s="213"/>
    </row>
    <row r="217" spans="1:30" s="211" customFormat="1" x14ac:dyDescent="0.25">
      <c r="A217" s="211" t="s">
        <v>117</v>
      </c>
      <c r="B217" s="211">
        <v>392</v>
      </c>
      <c r="C217" s="211" t="s">
        <v>238</v>
      </c>
      <c r="D217" s="211">
        <v>191904323</v>
      </c>
      <c r="E217" s="211">
        <v>1020</v>
      </c>
      <c r="F217" s="211">
        <v>1122</v>
      </c>
      <c r="G217" s="211">
        <v>1004</v>
      </c>
      <c r="I217" s="211" t="s">
        <v>2846</v>
      </c>
      <c r="J217" s="212" t="s">
        <v>638</v>
      </c>
      <c r="K217" s="211" t="s">
        <v>526</v>
      </c>
      <c r="L217" s="211" t="s">
        <v>2870</v>
      </c>
      <c r="AD217" s="213"/>
    </row>
    <row r="218" spans="1:30" s="211" customFormat="1" x14ac:dyDescent="0.25">
      <c r="A218" s="211" t="s">
        <v>117</v>
      </c>
      <c r="B218" s="211">
        <v>392</v>
      </c>
      <c r="C218" s="211" t="s">
        <v>238</v>
      </c>
      <c r="D218" s="211">
        <v>191958338</v>
      </c>
      <c r="E218" s="211">
        <v>1060</v>
      </c>
      <c r="F218" s="211">
        <v>1242</v>
      </c>
      <c r="G218" s="211">
        <v>1004</v>
      </c>
      <c r="I218" s="211" t="s">
        <v>2159</v>
      </c>
      <c r="J218" s="212" t="s">
        <v>638</v>
      </c>
      <c r="K218" s="211" t="s">
        <v>639</v>
      </c>
      <c r="L218" s="211" t="s">
        <v>2172</v>
      </c>
      <c r="AD218" s="213"/>
    </row>
    <row r="219" spans="1:30" s="211" customFormat="1" x14ac:dyDescent="0.25">
      <c r="A219" s="211" t="s">
        <v>117</v>
      </c>
      <c r="B219" s="211">
        <v>392</v>
      </c>
      <c r="C219" s="211" t="s">
        <v>238</v>
      </c>
      <c r="D219" s="211">
        <v>191981897</v>
      </c>
      <c r="E219" s="211">
        <v>1060</v>
      </c>
      <c r="F219" s="211">
        <v>1271</v>
      </c>
      <c r="G219" s="211">
        <v>1004</v>
      </c>
      <c r="I219" s="211" t="s">
        <v>1439</v>
      </c>
      <c r="J219" s="212" t="s">
        <v>638</v>
      </c>
      <c r="K219" s="211" t="s">
        <v>524</v>
      </c>
      <c r="L219" s="211" t="s">
        <v>1463</v>
      </c>
      <c r="AD219" s="213"/>
    </row>
    <row r="220" spans="1:30" s="211" customFormat="1" x14ac:dyDescent="0.25">
      <c r="A220" s="211" t="s">
        <v>117</v>
      </c>
      <c r="B220" s="211">
        <v>392</v>
      </c>
      <c r="C220" s="211" t="s">
        <v>238</v>
      </c>
      <c r="D220" s="211">
        <v>192010183</v>
      </c>
      <c r="E220" s="211">
        <v>1080</v>
      </c>
      <c r="F220" s="211">
        <v>1122</v>
      </c>
      <c r="G220" s="211">
        <v>1004</v>
      </c>
      <c r="I220" s="211" t="s">
        <v>1695</v>
      </c>
      <c r="J220" s="212" t="s">
        <v>638</v>
      </c>
      <c r="K220" s="211" t="s">
        <v>526</v>
      </c>
      <c r="L220" s="211" t="s">
        <v>2871</v>
      </c>
      <c r="AD220" s="213"/>
    </row>
    <row r="221" spans="1:30" s="211" customFormat="1" x14ac:dyDescent="0.25">
      <c r="A221" s="211" t="s">
        <v>117</v>
      </c>
      <c r="B221" s="211">
        <v>392</v>
      </c>
      <c r="C221" s="211" t="s">
        <v>238</v>
      </c>
      <c r="D221" s="211">
        <v>502067235</v>
      </c>
      <c r="E221" s="211">
        <v>1060</v>
      </c>
      <c r="G221" s="211">
        <v>1004</v>
      </c>
      <c r="I221" s="211" t="s">
        <v>3611</v>
      </c>
      <c r="J221" s="212" t="s">
        <v>638</v>
      </c>
      <c r="K221" s="211" t="s">
        <v>524</v>
      </c>
      <c r="L221" s="211" t="s">
        <v>3690</v>
      </c>
      <c r="AD221" s="213"/>
    </row>
    <row r="222" spans="1:30" s="211" customFormat="1" x14ac:dyDescent="0.25">
      <c r="A222" s="211" t="s">
        <v>117</v>
      </c>
      <c r="B222" s="211">
        <v>393</v>
      </c>
      <c r="C222" s="211" t="s">
        <v>239</v>
      </c>
      <c r="D222" s="211">
        <v>191910324</v>
      </c>
      <c r="E222" s="211">
        <v>1060</v>
      </c>
      <c r="F222" s="211">
        <v>1242</v>
      </c>
      <c r="G222" s="211">
        <v>1004</v>
      </c>
      <c r="I222" s="211" t="s">
        <v>1551</v>
      </c>
      <c r="J222" s="212" t="s">
        <v>638</v>
      </c>
      <c r="K222" s="211" t="s">
        <v>524</v>
      </c>
      <c r="L222" s="211" t="s">
        <v>1566</v>
      </c>
      <c r="AD222" s="213"/>
    </row>
    <row r="223" spans="1:30" s="211" customFormat="1" x14ac:dyDescent="0.25">
      <c r="A223" s="211" t="s">
        <v>117</v>
      </c>
      <c r="B223" s="211">
        <v>393</v>
      </c>
      <c r="C223" s="211" t="s">
        <v>239</v>
      </c>
      <c r="D223" s="211">
        <v>191957482</v>
      </c>
      <c r="E223" s="211">
        <v>1060</v>
      </c>
      <c r="F223" s="211">
        <v>1251</v>
      </c>
      <c r="G223" s="211">
        <v>1004</v>
      </c>
      <c r="I223" s="211" t="s">
        <v>1552</v>
      </c>
      <c r="J223" s="212" t="s">
        <v>638</v>
      </c>
      <c r="K223" s="211" t="s">
        <v>524</v>
      </c>
      <c r="L223" s="211" t="s">
        <v>1567</v>
      </c>
      <c r="AD223" s="213"/>
    </row>
    <row r="224" spans="1:30" s="211" customFormat="1" x14ac:dyDescent="0.25">
      <c r="A224" s="211" t="s">
        <v>117</v>
      </c>
      <c r="B224" s="211">
        <v>402</v>
      </c>
      <c r="C224" s="211" t="s">
        <v>242</v>
      </c>
      <c r="D224" s="211">
        <v>191892189</v>
      </c>
      <c r="E224" s="211">
        <v>1020</v>
      </c>
      <c r="F224" s="211">
        <v>1110</v>
      </c>
      <c r="G224" s="211">
        <v>1004</v>
      </c>
      <c r="I224" s="211" t="s">
        <v>1847</v>
      </c>
      <c r="J224" s="212" t="s">
        <v>638</v>
      </c>
      <c r="K224" s="211" t="s">
        <v>524</v>
      </c>
      <c r="L224" s="211" t="s">
        <v>1887</v>
      </c>
      <c r="AD224" s="213"/>
    </row>
    <row r="225" spans="1:30" s="211" customFormat="1" x14ac:dyDescent="0.25">
      <c r="A225" s="211" t="s">
        <v>117</v>
      </c>
      <c r="B225" s="211">
        <v>404</v>
      </c>
      <c r="C225" s="211" t="s">
        <v>244</v>
      </c>
      <c r="D225" s="211">
        <v>191491432</v>
      </c>
      <c r="E225" s="211">
        <v>1060</v>
      </c>
      <c r="F225" s="211">
        <v>1252</v>
      </c>
      <c r="G225" s="211">
        <v>1004</v>
      </c>
      <c r="I225" s="211" t="s">
        <v>3281</v>
      </c>
      <c r="J225" s="212" t="s">
        <v>638</v>
      </c>
      <c r="K225" s="211" t="s">
        <v>524</v>
      </c>
      <c r="L225" s="211" t="s">
        <v>3335</v>
      </c>
      <c r="AD225" s="213"/>
    </row>
    <row r="226" spans="1:30" s="211" customFormat="1" x14ac:dyDescent="0.25">
      <c r="A226" s="211" t="s">
        <v>117</v>
      </c>
      <c r="B226" s="211">
        <v>404</v>
      </c>
      <c r="C226" s="211" t="s">
        <v>244</v>
      </c>
      <c r="D226" s="211">
        <v>191846486</v>
      </c>
      <c r="E226" s="211">
        <v>1080</v>
      </c>
      <c r="F226" s="211">
        <v>1242</v>
      </c>
      <c r="G226" s="211">
        <v>1004</v>
      </c>
      <c r="I226" s="211" t="s">
        <v>1494</v>
      </c>
      <c r="J226" s="212" t="s">
        <v>638</v>
      </c>
      <c r="K226" s="211" t="s">
        <v>524</v>
      </c>
      <c r="L226" s="211" t="s">
        <v>1508</v>
      </c>
      <c r="AD226" s="213"/>
    </row>
    <row r="227" spans="1:30" s="211" customFormat="1" x14ac:dyDescent="0.25">
      <c r="A227" s="211" t="s">
        <v>117</v>
      </c>
      <c r="B227" s="211">
        <v>404</v>
      </c>
      <c r="C227" s="211" t="s">
        <v>244</v>
      </c>
      <c r="D227" s="211">
        <v>191846487</v>
      </c>
      <c r="E227" s="211">
        <v>1080</v>
      </c>
      <c r="F227" s="211">
        <v>1242</v>
      </c>
      <c r="G227" s="211">
        <v>1004</v>
      </c>
      <c r="I227" s="211" t="s">
        <v>1495</v>
      </c>
      <c r="J227" s="212" t="s">
        <v>638</v>
      </c>
      <c r="K227" s="211" t="s">
        <v>524</v>
      </c>
      <c r="L227" s="211" t="s">
        <v>1509</v>
      </c>
      <c r="AD227" s="213"/>
    </row>
    <row r="228" spans="1:30" s="211" customFormat="1" x14ac:dyDescent="0.25">
      <c r="A228" s="211" t="s">
        <v>117</v>
      </c>
      <c r="B228" s="211">
        <v>404</v>
      </c>
      <c r="C228" s="211" t="s">
        <v>244</v>
      </c>
      <c r="D228" s="211">
        <v>191949766</v>
      </c>
      <c r="E228" s="211">
        <v>1080</v>
      </c>
      <c r="F228" s="211">
        <v>1242</v>
      </c>
      <c r="G228" s="211">
        <v>1004</v>
      </c>
      <c r="I228" s="211" t="s">
        <v>1579</v>
      </c>
      <c r="J228" s="212" t="s">
        <v>638</v>
      </c>
      <c r="K228" s="211" t="s">
        <v>524</v>
      </c>
      <c r="L228" s="211" t="s">
        <v>1585</v>
      </c>
      <c r="AD228" s="213"/>
    </row>
    <row r="229" spans="1:30" s="211" customFormat="1" x14ac:dyDescent="0.25">
      <c r="A229" s="211" t="s">
        <v>117</v>
      </c>
      <c r="B229" s="211">
        <v>404</v>
      </c>
      <c r="C229" s="211" t="s">
        <v>244</v>
      </c>
      <c r="D229" s="211">
        <v>191951612</v>
      </c>
      <c r="E229" s="211">
        <v>1080</v>
      </c>
      <c r="F229" s="211">
        <v>1242</v>
      </c>
      <c r="G229" s="211">
        <v>1004</v>
      </c>
      <c r="I229" s="211" t="s">
        <v>1496</v>
      </c>
      <c r="J229" s="212" t="s">
        <v>638</v>
      </c>
      <c r="K229" s="211" t="s">
        <v>639</v>
      </c>
      <c r="L229" s="211" t="s">
        <v>1515</v>
      </c>
      <c r="AD229" s="213"/>
    </row>
    <row r="230" spans="1:30" s="211" customFormat="1" x14ac:dyDescent="0.25">
      <c r="A230" s="211" t="s">
        <v>117</v>
      </c>
      <c r="B230" s="211">
        <v>404</v>
      </c>
      <c r="C230" s="211" t="s">
        <v>244</v>
      </c>
      <c r="D230" s="211">
        <v>191954788</v>
      </c>
      <c r="E230" s="211">
        <v>1080</v>
      </c>
      <c r="F230" s="211">
        <v>1242</v>
      </c>
      <c r="G230" s="211">
        <v>1004</v>
      </c>
      <c r="I230" s="211" t="s">
        <v>1595</v>
      </c>
      <c r="J230" s="212" t="s">
        <v>638</v>
      </c>
      <c r="K230" s="211" t="s">
        <v>524</v>
      </c>
      <c r="L230" s="211" t="s">
        <v>1691</v>
      </c>
      <c r="AD230" s="213"/>
    </row>
    <row r="231" spans="1:30" s="211" customFormat="1" x14ac:dyDescent="0.25">
      <c r="A231" s="211" t="s">
        <v>117</v>
      </c>
      <c r="B231" s="211">
        <v>404</v>
      </c>
      <c r="C231" s="211" t="s">
        <v>244</v>
      </c>
      <c r="D231" s="211">
        <v>192004021</v>
      </c>
      <c r="E231" s="211">
        <v>1020</v>
      </c>
      <c r="F231" s="211">
        <v>1122</v>
      </c>
      <c r="G231" s="211">
        <v>1003</v>
      </c>
      <c r="I231" s="211" t="s">
        <v>1833</v>
      </c>
      <c r="J231" s="212" t="s">
        <v>638</v>
      </c>
      <c r="K231" s="211" t="s">
        <v>639</v>
      </c>
      <c r="L231" s="211" t="s">
        <v>1836</v>
      </c>
      <c r="AD231" s="213"/>
    </row>
    <row r="232" spans="1:30" s="211" customFormat="1" x14ac:dyDescent="0.25">
      <c r="A232" s="211" t="s">
        <v>117</v>
      </c>
      <c r="B232" s="211">
        <v>404</v>
      </c>
      <c r="C232" s="211" t="s">
        <v>244</v>
      </c>
      <c r="D232" s="211">
        <v>192008151</v>
      </c>
      <c r="E232" s="211">
        <v>1080</v>
      </c>
      <c r="F232" s="211">
        <v>1242</v>
      </c>
      <c r="G232" s="211">
        <v>1003</v>
      </c>
      <c r="I232" s="211" t="s">
        <v>1673</v>
      </c>
      <c r="J232" s="212" t="s">
        <v>638</v>
      </c>
      <c r="K232" s="211" t="s">
        <v>524</v>
      </c>
      <c r="L232" s="211" t="s">
        <v>1678</v>
      </c>
      <c r="AD232" s="213"/>
    </row>
    <row r="233" spans="1:30" s="211" customFormat="1" x14ac:dyDescent="0.25">
      <c r="A233" s="211" t="s">
        <v>117</v>
      </c>
      <c r="B233" s="211">
        <v>404</v>
      </c>
      <c r="C233" s="211" t="s">
        <v>244</v>
      </c>
      <c r="D233" s="211">
        <v>192010730</v>
      </c>
      <c r="E233" s="211">
        <v>1080</v>
      </c>
      <c r="F233" s="211">
        <v>1274</v>
      </c>
      <c r="G233" s="211">
        <v>1003</v>
      </c>
      <c r="I233" s="211" t="s">
        <v>1698</v>
      </c>
      <c r="J233" s="212" t="s">
        <v>638</v>
      </c>
      <c r="K233" s="211" t="s">
        <v>524</v>
      </c>
      <c r="L233" s="211" t="s">
        <v>1704</v>
      </c>
      <c r="AD233" s="213"/>
    </row>
    <row r="234" spans="1:30" s="211" customFormat="1" x14ac:dyDescent="0.25">
      <c r="A234" s="211" t="s">
        <v>117</v>
      </c>
      <c r="B234" s="211">
        <v>404</v>
      </c>
      <c r="C234" s="211" t="s">
        <v>244</v>
      </c>
      <c r="D234" s="211">
        <v>192011115</v>
      </c>
      <c r="E234" s="211">
        <v>1080</v>
      </c>
      <c r="F234" s="211">
        <v>1274</v>
      </c>
      <c r="G234" s="211">
        <v>1003</v>
      </c>
      <c r="I234" s="211" t="s">
        <v>1699</v>
      </c>
      <c r="J234" s="212" t="s">
        <v>638</v>
      </c>
      <c r="K234" s="211" t="s">
        <v>524</v>
      </c>
      <c r="L234" s="211" t="s">
        <v>1705</v>
      </c>
      <c r="AD234" s="213"/>
    </row>
    <row r="235" spans="1:30" s="211" customFormat="1" x14ac:dyDescent="0.25">
      <c r="A235" s="211" t="s">
        <v>117</v>
      </c>
      <c r="B235" s="211">
        <v>404</v>
      </c>
      <c r="C235" s="211" t="s">
        <v>244</v>
      </c>
      <c r="D235" s="211">
        <v>192011191</v>
      </c>
      <c r="E235" s="211">
        <v>1080</v>
      </c>
      <c r="F235" s="211">
        <v>1274</v>
      </c>
      <c r="G235" s="211">
        <v>1004</v>
      </c>
      <c r="I235" s="211" t="s">
        <v>1700</v>
      </c>
      <c r="J235" s="212" t="s">
        <v>638</v>
      </c>
      <c r="K235" s="211" t="s">
        <v>524</v>
      </c>
      <c r="L235" s="211" t="s">
        <v>2696</v>
      </c>
      <c r="AD235" s="213"/>
    </row>
    <row r="236" spans="1:30" s="211" customFormat="1" x14ac:dyDescent="0.25">
      <c r="A236" s="211" t="s">
        <v>117</v>
      </c>
      <c r="B236" s="211">
        <v>404</v>
      </c>
      <c r="C236" s="211" t="s">
        <v>244</v>
      </c>
      <c r="D236" s="211">
        <v>192011237</v>
      </c>
      <c r="E236" s="211">
        <v>1080</v>
      </c>
      <c r="F236" s="211">
        <v>1274</v>
      </c>
      <c r="G236" s="211">
        <v>1003</v>
      </c>
      <c r="I236" s="211" t="s">
        <v>1701</v>
      </c>
      <c r="J236" s="212" t="s">
        <v>638</v>
      </c>
      <c r="K236" s="211" t="s">
        <v>524</v>
      </c>
      <c r="L236" s="211" t="s">
        <v>1706</v>
      </c>
      <c r="AD236" s="213"/>
    </row>
    <row r="237" spans="1:30" s="211" customFormat="1" x14ac:dyDescent="0.25">
      <c r="A237" s="211" t="s">
        <v>117</v>
      </c>
      <c r="B237" s="211">
        <v>404</v>
      </c>
      <c r="C237" s="211" t="s">
        <v>244</v>
      </c>
      <c r="D237" s="211">
        <v>192015929</v>
      </c>
      <c r="E237" s="211">
        <v>1080</v>
      </c>
      <c r="F237" s="211">
        <v>1242</v>
      </c>
      <c r="G237" s="211">
        <v>1003</v>
      </c>
      <c r="I237" s="211" t="s">
        <v>2513</v>
      </c>
      <c r="J237" s="212" t="s">
        <v>638</v>
      </c>
      <c r="K237" s="211" t="s">
        <v>524</v>
      </c>
      <c r="L237" s="211" t="s">
        <v>2538</v>
      </c>
      <c r="AD237" s="213"/>
    </row>
    <row r="238" spans="1:30" s="211" customFormat="1" x14ac:dyDescent="0.25">
      <c r="A238" s="211" t="s">
        <v>117</v>
      </c>
      <c r="B238" s="211">
        <v>404</v>
      </c>
      <c r="C238" s="211" t="s">
        <v>244</v>
      </c>
      <c r="D238" s="211">
        <v>192017610</v>
      </c>
      <c r="E238" s="211">
        <v>1080</v>
      </c>
      <c r="F238" s="211">
        <v>1274</v>
      </c>
      <c r="G238" s="211">
        <v>1004</v>
      </c>
      <c r="I238" s="211" t="s">
        <v>1920</v>
      </c>
      <c r="J238" s="212" t="s">
        <v>638</v>
      </c>
      <c r="K238" s="211" t="s">
        <v>524</v>
      </c>
      <c r="L238" s="211" t="s">
        <v>1952</v>
      </c>
      <c r="AD238" s="213"/>
    </row>
    <row r="239" spans="1:30" s="211" customFormat="1" x14ac:dyDescent="0.25">
      <c r="A239" s="211" t="s">
        <v>117</v>
      </c>
      <c r="B239" s="211">
        <v>404</v>
      </c>
      <c r="C239" s="211" t="s">
        <v>244</v>
      </c>
      <c r="D239" s="211">
        <v>192022719</v>
      </c>
      <c r="E239" s="211">
        <v>1080</v>
      </c>
      <c r="F239" s="211">
        <v>1242</v>
      </c>
      <c r="G239" s="211">
        <v>1004</v>
      </c>
      <c r="I239" s="211" t="s">
        <v>2326</v>
      </c>
      <c r="J239" s="212" t="s">
        <v>638</v>
      </c>
      <c r="K239" s="211" t="s">
        <v>524</v>
      </c>
      <c r="L239" s="211" t="s">
        <v>2970</v>
      </c>
      <c r="AD239" s="213"/>
    </row>
    <row r="240" spans="1:30" s="211" customFormat="1" x14ac:dyDescent="0.25">
      <c r="A240" s="211" t="s">
        <v>117</v>
      </c>
      <c r="B240" s="211">
        <v>404</v>
      </c>
      <c r="C240" s="211" t="s">
        <v>244</v>
      </c>
      <c r="D240" s="211">
        <v>192022720</v>
      </c>
      <c r="E240" s="211">
        <v>1080</v>
      </c>
      <c r="F240" s="211">
        <v>1242</v>
      </c>
      <c r="G240" s="211">
        <v>1004</v>
      </c>
      <c r="I240" s="211" t="s">
        <v>2327</v>
      </c>
      <c r="J240" s="212" t="s">
        <v>638</v>
      </c>
      <c r="K240" s="211" t="s">
        <v>524</v>
      </c>
      <c r="L240" s="211" t="s">
        <v>2971</v>
      </c>
      <c r="AD240" s="213"/>
    </row>
    <row r="241" spans="1:30" s="211" customFormat="1" x14ac:dyDescent="0.25">
      <c r="A241" s="211" t="s">
        <v>117</v>
      </c>
      <c r="B241" s="211">
        <v>404</v>
      </c>
      <c r="C241" s="211" t="s">
        <v>244</v>
      </c>
      <c r="D241" s="211">
        <v>192028483</v>
      </c>
      <c r="E241" s="211">
        <v>1080</v>
      </c>
      <c r="F241" s="211">
        <v>1242</v>
      </c>
      <c r="G241" s="211">
        <v>1003</v>
      </c>
      <c r="I241" s="211" t="s">
        <v>2676</v>
      </c>
      <c r="J241" s="212" t="s">
        <v>638</v>
      </c>
      <c r="K241" s="211" t="s">
        <v>524</v>
      </c>
      <c r="L241" s="211" t="s">
        <v>2697</v>
      </c>
      <c r="AD241" s="213"/>
    </row>
    <row r="242" spans="1:30" s="211" customFormat="1" x14ac:dyDescent="0.25">
      <c r="A242" s="211" t="s">
        <v>117</v>
      </c>
      <c r="B242" s="211">
        <v>404</v>
      </c>
      <c r="C242" s="211" t="s">
        <v>244</v>
      </c>
      <c r="D242" s="211">
        <v>192037224</v>
      </c>
      <c r="E242" s="211">
        <v>1080</v>
      </c>
      <c r="F242" s="211">
        <v>1274</v>
      </c>
      <c r="G242" s="211">
        <v>1003</v>
      </c>
      <c r="I242" s="211" t="s">
        <v>2677</v>
      </c>
      <c r="J242" s="212" t="s">
        <v>638</v>
      </c>
      <c r="K242" s="211" t="s">
        <v>526</v>
      </c>
      <c r="L242" s="211" t="s">
        <v>2691</v>
      </c>
      <c r="AD242" s="213"/>
    </row>
    <row r="243" spans="1:30" s="211" customFormat="1" x14ac:dyDescent="0.25">
      <c r="A243" s="211" t="s">
        <v>117</v>
      </c>
      <c r="B243" s="211">
        <v>404</v>
      </c>
      <c r="C243" s="211" t="s">
        <v>244</v>
      </c>
      <c r="D243" s="211">
        <v>192039633</v>
      </c>
      <c r="E243" s="211">
        <v>1080</v>
      </c>
      <c r="F243" s="211">
        <v>1242</v>
      </c>
      <c r="G243" s="211">
        <v>1003</v>
      </c>
      <c r="I243" s="211" t="s">
        <v>2710</v>
      </c>
      <c r="J243" s="212" t="s">
        <v>638</v>
      </c>
      <c r="K243" s="211" t="s">
        <v>524</v>
      </c>
      <c r="L243" s="211" t="s">
        <v>2732</v>
      </c>
      <c r="AD243" s="213"/>
    </row>
    <row r="244" spans="1:30" s="211" customFormat="1" x14ac:dyDescent="0.25">
      <c r="A244" s="211" t="s">
        <v>117</v>
      </c>
      <c r="B244" s="211">
        <v>404</v>
      </c>
      <c r="C244" s="211" t="s">
        <v>244</v>
      </c>
      <c r="D244" s="211">
        <v>192042397</v>
      </c>
      <c r="E244" s="211">
        <v>1080</v>
      </c>
      <c r="F244" s="211">
        <v>1274</v>
      </c>
      <c r="G244" s="211">
        <v>1004</v>
      </c>
      <c r="I244" s="211" t="s">
        <v>2847</v>
      </c>
      <c r="J244" s="212" t="s">
        <v>638</v>
      </c>
      <c r="K244" s="211" t="s">
        <v>524</v>
      </c>
      <c r="L244" s="211" t="s">
        <v>2872</v>
      </c>
      <c r="AD244" s="213"/>
    </row>
    <row r="245" spans="1:30" s="211" customFormat="1" x14ac:dyDescent="0.25">
      <c r="A245" s="211" t="s">
        <v>117</v>
      </c>
      <c r="B245" s="211">
        <v>404</v>
      </c>
      <c r="C245" s="211" t="s">
        <v>244</v>
      </c>
      <c r="D245" s="211">
        <v>192042962</v>
      </c>
      <c r="E245" s="211">
        <v>1060</v>
      </c>
      <c r="F245" s="211">
        <v>1230</v>
      </c>
      <c r="G245" s="211">
        <v>1003</v>
      </c>
      <c r="I245" s="211" t="s">
        <v>3542</v>
      </c>
      <c r="J245" s="212" t="s">
        <v>638</v>
      </c>
      <c r="K245" s="211" t="s">
        <v>526</v>
      </c>
      <c r="L245" s="211" t="s">
        <v>3573</v>
      </c>
      <c r="AD245" s="213"/>
    </row>
    <row r="246" spans="1:30" s="211" customFormat="1" x14ac:dyDescent="0.25">
      <c r="A246" s="211" t="s">
        <v>117</v>
      </c>
      <c r="B246" s="211">
        <v>404</v>
      </c>
      <c r="C246" s="211" t="s">
        <v>244</v>
      </c>
      <c r="D246" s="211">
        <v>192043150</v>
      </c>
      <c r="E246" s="211">
        <v>1080</v>
      </c>
      <c r="F246" s="211">
        <v>1230</v>
      </c>
      <c r="G246" s="211">
        <v>1003</v>
      </c>
      <c r="I246" s="211" t="s">
        <v>3543</v>
      </c>
      <c r="J246" s="212" t="s">
        <v>638</v>
      </c>
      <c r="K246" s="211" t="s">
        <v>526</v>
      </c>
      <c r="L246" s="211" t="s">
        <v>3574</v>
      </c>
      <c r="AD246" s="213"/>
    </row>
    <row r="247" spans="1:30" s="211" customFormat="1" x14ac:dyDescent="0.25">
      <c r="A247" s="211" t="s">
        <v>117</v>
      </c>
      <c r="B247" s="211">
        <v>404</v>
      </c>
      <c r="C247" s="211" t="s">
        <v>244</v>
      </c>
      <c r="D247" s="211">
        <v>192045197</v>
      </c>
      <c r="E247" s="211">
        <v>1080</v>
      </c>
      <c r="F247" s="211">
        <v>1274</v>
      </c>
      <c r="G247" s="211">
        <v>1004</v>
      </c>
      <c r="I247" s="211" t="s">
        <v>2992</v>
      </c>
      <c r="J247" s="212" t="s">
        <v>638</v>
      </c>
      <c r="K247" s="211" t="s">
        <v>524</v>
      </c>
      <c r="L247" s="211" t="s">
        <v>3002</v>
      </c>
      <c r="AD247" s="213"/>
    </row>
    <row r="248" spans="1:30" s="211" customFormat="1" x14ac:dyDescent="0.25">
      <c r="A248" s="211" t="s">
        <v>117</v>
      </c>
      <c r="B248" s="211">
        <v>404</v>
      </c>
      <c r="C248" s="211" t="s">
        <v>244</v>
      </c>
      <c r="D248" s="211">
        <v>192046036</v>
      </c>
      <c r="E248" s="211">
        <v>1080</v>
      </c>
      <c r="F248" s="211">
        <v>1230</v>
      </c>
      <c r="G248" s="211">
        <v>1003</v>
      </c>
      <c r="I248" s="211" t="s">
        <v>3544</v>
      </c>
      <c r="J248" s="212" t="s">
        <v>638</v>
      </c>
      <c r="K248" s="211" t="s">
        <v>526</v>
      </c>
      <c r="L248" s="211" t="s">
        <v>3575</v>
      </c>
      <c r="AD248" s="213"/>
    </row>
    <row r="249" spans="1:30" s="211" customFormat="1" x14ac:dyDescent="0.25">
      <c r="A249" s="211" t="s">
        <v>117</v>
      </c>
      <c r="B249" s="211">
        <v>404</v>
      </c>
      <c r="C249" s="211" t="s">
        <v>244</v>
      </c>
      <c r="D249" s="211">
        <v>192047884</v>
      </c>
      <c r="E249" s="211">
        <v>1080</v>
      </c>
      <c r="F249" s="211">
        <v>1242</v>
      </c>
      <c r="G249" s="211">
        <v>1004</v>
      </c>
      <c r="I249" s="211" t="s">
        <v>3232</v>
      </c>
      <c r="J249" s="212" t="s">
        <v>638</v>
      </c>
      <c r="K249" s="211" t="s">
        <v>524</v>
      </c>
      <c r="L249" s="211" t="s">
        <v>3250</v>
      </c>
      <c r="AD249" s="213"/>
    </row>
    <row r="250" spans="1:30" s="211" customFormat="1" x14ac:dyDescent="0.25">
      <c r="A250" s="211" t="s">
        <v>117</v>
      </c>
      <c r="B250" s="211">
        <v>404</v>
      </c>
      <c r="C250" s="211" t="s">
        <v>244</v>
      </c>
      <c r="D250" s="211">
        <v>504061649</v>
      </c>
      <c r="E250" s="211">
        <v>1060</v>
      </c>
      <c r="F250" s="211">
        <v>1252</v>
      </c>
      <c r="G250" s="211">
        <v>1004</v>
      </c>
      <c r="I250" s="211" t="s">
        <v>2353</v>
      </c>
      <c r="J250" s="212" t="s">
        <v>638</v>
      </c>
      <c r="K250" s="211" t="s">
        <v>524</v>
      </c>
      <c r="L250" s="211" t="s">
        <v>2357</v>
      </c>
      <c r="AD250" s="213"/>
    </row>
    <row r="251" spans="1:30" s="211" customFormat="1" x14ac:dyDescent="0.25">
      <c r="A251" s="211" t="s">
        <v>117</v>
      </c>
      <c r="B251" s="211">
        <v>404</v>
      </c>
      <c r="C251" s="211" t="s">
        <v>244</v>
      </c>
      <c r="D251" s="211">
        <v>504061854</v>
      </c>
      <c r="E251" s="211">
        <v>1060</v>
      </c>
      <c r="F251" s="211">
        <v>1242</v>
      </c>
      <c r="G251" s="211">
        <v>1004</v>
      </c>
      <c r="I251" s="211" t="s">
        <v>3370</v>
      </c>
      <c r="J251" s="212" t="s">
        <v>638</v>
      </c>
      <c r="K251" s="211" t="s">
        <v>639</v>
      </c>
      <c r="L251" s="211" t="s">
        <v>3421</v>
      </c>
      <c r="AD251" s="213"/>
    </row>
    <row r="252" spans="1:30" s="211" customFormat="1" x14ac:dyDescent="0.25">
      <c r="A252" s="211" t="s">
        <v>117</v>
      </c>
      <c r="B252" s="211">
        <v>407</v>
      </c>
      <c r="C252" s="211" t="s">
        <v>247</v>
      </c>
      <c r="D252" s="211">
        <v>192019592</v>
      </c>
      <c r="E252" s="211">
        <v>1060</v>
      </c>
      <c r="F252" s="211">
        <v>1252</v>
      </c>
      <c r="G252" s="211">
        <v>1004</v>
      </c>
      <c r="I252" s="211" t="s">
        <v>2085</v>
      </c>
      <c r="J252" s="212" t="s">
        <v>638</v>
      </c>
      <c r="K252" s="211" t="s">
        <v>524</v>
      </c>
      <c r="L252" s="211" t="s">
        <v>2086</v>
      </c>
      <c r="AD252" s="213"/>
    </row>
    <row r="253" spans="1:30" s="211" customFormat="1" x14ac:dyDescent="0.25">
      <c r="A253" s="211" t="s">
        <v>117</v>
      </c>
      <c r="B253" s="211">
        <v>408</v>
      </c>
      <c r="C253" s="211" t="s">
        <v>248</v>
      </c>
      <c r="D253" s="211">
        <v>191918783</v>
      </c>
      <c r="E253" s="211">
        <v>1060</v>
      </c>
      <c r="F253" s="211">
        <v>1242</v>
      </c>
      <c r="G253" s="211">
        <v>1004</v>
      </c>
      <c r="I253" s="211" t="s">
        <v>2889</v>
      </c>
      <c r="J253" s="212" t="s">
        <v>638</v>
      </c>
      <c r="K253" s="211" t="s">
        <v>524</v>
      </c>
      <c r="L253" s="211" t="s">
        <v>2911</v>
      </c>
      <c r="AD253" s="213"/>
    </row>
    <row r="254" spans="1:30" s="211" customFormat="1" x14ac:dyDescent="0.25">
      <c r="A254" s="211" t="s">
        <v>117</v>
      </c>
      <c r="B254" s="211">
        <v>408</v>
      </c>
      <c r="C254" s="211" t="s">
        <v>248</v>
      </c>
      <c r="D254" s="211">
        <v>191960707</v>
      </c>
      <c r="E254" s="211">
        <v>1060</v>
      </c>
      <c r="F254" s="211">
        <v>1271</v>
      </c>
      <c r="G254" s="211">
        <v>1004</v>
      </c>
      <c r="I254" s="211" t="s">
        <v>2890</v>
      </c>
      <c r="J254" s="212" t="s">
        <v>638</v>
      </c>
      <c r="K254" s="211" t="s">
        <v>524</v>
      </c>
      <c r="L254" s="211" t="s">
        <v>2912</v>
      </c>
      <c r="AD254" s="213"/>
    </row>
    <row r="255" spans="1:30" s="211" customFormat="1" x14ac:dyDescent="0.25">
      <c r="A255" s="211" t="s">
        <v>117</v>
      </c>
      <c r="B255" s="211">
        <v>408</v>
      </c>
      <c r="C255" s="211" t="s">
        <v>248</v>
      </c>
      <c r="D255" s="211">
        <v>191970466</v>
      </c>
      <c r="E255" s="211">
        <v>1080</v>
      </c>
      <c r="F255" s="211">
        <v>1241</v>
      </c>
      <c r="G255" s="211">
        <v>1004</v>
      </c>
      <c r="I255" s="211" t="s">
        <v>1800</v>
      </c>
      <c r="J255" s="212" t="s">
        <v>638</v>
      </c>
      <c r="K255" s="211" t="s">
        <v>524</v>
      </c>
      <c r="L255" s="211" t="s">
        <v>1817</v>
      </c>
      <c r="AD255" s="213"/>
    </row>
    <row r="256" spans="1:30" s="211" customFormat="1" x14ac:dyDescent="0.25">
      <c r="A256" s="211" t="s">
        <v>117</v>
      </c>
      <c r="B256" s="211">
        <v>409</v>
      </c>
      <c r="C256" s="211" t="s">
        <v>249</v>
      </c>
      <c r="D256" s="211">
        <v>192033674</v>
      </c>
      <c r="E256" s="211">
        <v>1060</v>
      </c>
      <c r="F256" s="211">
        <v>1252</v>
      </c>
      <c r="G256" s="211">
        <v>1004</v>
      </c>
      <c r="I256" s="211" t="s">
        <v>2514</v>
      </c>
      <c r="J256" s="212" t="s">
        <v>638</v>
      </c>
      <c r="K256" s="211" t="s">
        <v>639</v>
      </c>
      <c r="L256" s="211" t="s">
        <v>2542</v>
      </c>
      <c r="AD256" s="213"/>
    </row>
    <row r="257" spans="1:30" s="211" customFormat="1" x14ac:dyDescent="0.25">
      <c r="A257" s="211" t="s">
        <v>117</v>
      </c>
      <c r="B257" s="211">
        <v>412</v>
      </c>
      <c r="C257" s="211" t="s">
        <v>252</v>
      </c>
      <c r="D257" s="211">
        <v>190277568</v>
      </c>
      <c r="E257" s="211">
        <v>1060</v>
      </c>
      <c r="G257" s="211">
        <v>1004</v>
      </c>
      <c r="I257" s="211" t="s">
        <v>646</v>
      </c>
      <c r="J257" s="212" t="s">
        <v>638</v>
      </c>
      <c r="K257" s="211" t="s">
        <v>639</v>
      </c>
      <c r="L257" s="211" t="s">
        <v>911</v>
      </c>
      <c r="AD257" s="213"/>
    </row>
    <row r="258" spans="1:30" s="211" customFormat="1" x14ac:dyDescent="0.25">
      <c r="A258" s="211" t="s">
        <v>117</v>
      </c>
      <c r="B258" s="211">
        <v>412</v>
      </c>
      <c r="C258" s="211" t="s">
        <v>252</v>
      </c>
      <c r="D258" s="211">
        <v>191912387</v>
      </c>
      <c r="E258" s="211">
        <v>1060</v>
      </c>
      <c r="F258" s="211">
        <v>1274</v>
      </c>
      <c r="G258" s="211">
        <v>1004</v>
      </c>
      <c r="I258" s="211" t="s">
        <v>792</v>
      </c>
      <c r="J258" s="212" t="s">
        <v>638</v>
      </c>
      <c r="K258" s="211" t="s">
        <v>524</v>
      </c>
      <c r="L258" s="211" t="s">
        <v>840</v>
      </c>
      <c r="AD258" s="213"/>
    </row>
    <row r="259" spans="1:30" s="211" customFormat="1" x14ac:dyDescent="0.25">
      <c r="A259" s="211" t="s">
        <v>117</v>
      </c>
      <c r="B259" s="211">
        <v>412</v>
      </c>
      <c r="C259" s="211" t="s">
        <v>252</v>
      </c>
      <c r="D259" s="211">
        <v>191970633</v>
      </c>
      <c r="E259" s="211">
        <v>1060</v>
      </c>
      <c r="F259" s="211">
        <v>1242</v>
      </c>
      <c r="G259" s="211">
        <v>1004</v>
      </c>
      <c r="I259" s="211" t="s">
        <v>1686</v>
      </c>
      <c r="J259" s="212" t="s">
        <v>638</v>
      </c>
      <c r="K259" s="211" t="s">
        <v>524</v>
      </c>
      <c r="L259" s="211" t="s">
        <v>1687</v>
      </c>
      <c r="AD259" s="213"/>
    </row>
    <row r="260" spans="1:30" s="211" customFormat="1" x14ac:dyDescent="0.25">
      <c r="A260" s="211" t="s">
        <v>117</v>
      </c>
      <c r="B260" s="211">
        <v>412</v>
      </c>
      <c r="C260" s="211" t="s">
        <v>252</v>
      </c>
      <c r="D260" s="211">
        <v>192005460</v>
      </c>
      <c r="E260" s="211">
        <v>1060</v>
      </c>
      <c r="F260" s="211">
        <v>1230</v>
      </c>
      <c r="G260" s="211">
        <v>1004</v>
      </c>
      <c r="I260" s="211" t="s">
        <v>2644</v>
      </c>
      <c r="J260" s="212" t="s">
        <v>638</v>
      </c>
      <c r="K260" s="211" t="s">
        <v>639</v>
      </c>
      <c r="L260" s="211" t="s">
        <v>2666</v>
      </c>
      <c r="AD260" s="213"/>
    </row>
    <row r="261" spans="1:30" s="211" customFormat="1" x14ac:dyDescent="0.25">
      <c r="A261" s="211" t="s">
        <v>117</v>
      </c>
      <c r="B261" s="211">
        <v>412</v>
      </c>
      <c r="C261" s="211" t="s">
        <v>252</v>
      </c>
      <c r="D261" s="211">
        <v>192034337</v>
      </c>
      <c r="E261" s="211">
        <v>1020</v>
      </c>
      <c r="F261" s="211">
        <v>1110</v>
      </c>
      <c r="G261" s="211">
        <v>1004</v>
      </c>
      <c r="I261" s="211" t="s">
        <v>2993</v>
      </c>
      <c r="J261" s="212" t="s">
        <v>638</v>
      </c>
      <c r="K261" s="211" t="s">
        <v>524</v>
      </c>
      <c r="L261" s="211" t="s">
        <v>3003</v>
      </c>
      <c r="AD261" s="213"/>
    </row>
    <row r="262" spans="1:30" s="211" customFormat="1" x14ac:dyDescent="0.25">
      <c r="A262" s="211" t="s">
        <v>117</v>
      </c>
      <c r="B262" s="211">
        <v>413</v>
      </c>
      <c r="C262" s="211" t="s">
        <v>253</v>
      </c>
      <c r="D262" s="211">
        <v>191981506</v>
      </c>
      <c r="E262" s="211">
        <v>1080</v>
      </c>
      <c r="F262" s="211">
        <v>1242</v>
      </c>
      <c r="G262" s="211">
        <v>1004</v>
      </c>
      <c r="I262" s="211" t="s">
        <v>819</v>
      </c>
      <c r="J262" s="212" t="s">
        <v>638</v>
      </c>
      <c r="K262" s="211" t="s">
        <v>639</v>
      </c>
      <c r="L262" s="211" t="s">
        <v>912</v>
      </c>
      <c r="AD262" s="213"/>
    </row>
    <row r="263" spans="1:30" s="211" customFormat="1" x14ac:dyDescent="0.25">
      <c r="A263" s="211" t="s">
        <v>117</v>
      </c>
      <c r="B263" s="211">
        <v>415</v>
      </c>
      <c r="C263" s="211" t="s">
        <v>255</v>
      </c>
      <c r="D263" s="211">
        <v>191982666</v>
      </c>
      <c r="E263" s="211">
        <v>1060</v>
      </c>
      <c r="F263" s="211">
        <v>1242</v>
      </c>
      <c r="G263" s="211">
        <v>1004</v>
      </c>
      <c r="I263" s="211" t="s">
        <v>1848</v>
      </c>
      <c r="J263" s="212" t="s">
        <v>638</v>
      </c>
      <c r="K263" s="211" t="s">
        <v>524</v>
      </c>
      <c r="L263" s="211" t="s">
        <v>2151</v>
      </c>
      <c r="AD263" s="213"/>
    </row>
    <row r="264" spans="1:30" s="211" customFormat="1" x14ac:dyDescent="0.25">
      <c r="A264" s="211" t="s">
        <v>117</v>
      </c>
      <c r="B264" s="211">
        <v>415</v>
      </c>
      <c r="C264" s="211" t="s">
        <v>255</v>
      </c>
      <c r="D264" s="211">
        <v>191982671</v>
      </c>
      <c r="E264" s="211">
        <v>1060</v>
      </c>
      <c r="F264" s="211">
        <v>1230</v>
      </c>
      <c r="G264" s="211">
        <v>1004</v>
      </c>
      <c r="I264" s="211" t="s">
        <v>2149</v>
      </c>
      <c r="J264" s="212" t="s">
        <v>638</v>
      </c>
      <c r="K264" s="211" t="s">
        <v>524</v>
      </c>
      <c r="L264" s="211" t="s">
        <v>2152</v>
      </c>
      <c r="AD264" s="213"/>
    </row>
    <row r="265" spans="1:30" s="211" customFormat="1" x14ac:dyDescent="0.25">
      <c r="A265" s="211" t="s">
        <v>117</v>
      </c>
      <c r="B265" s="211">
        <v>418</v>
      </c>
      <c r="C265" s="211" t="s">
        <v>256</v>
      </c>
      <c r="D265" s="211">
        <v>191997461</v>
      </c>
      <c r="E265" s="211">
        <v>1060</v>
      </c>
      <c r="F265" s="211">
        <v>1271</v>
      </c>
      <c r="G265" s="211">
        <v>1004</v>
      </c>
      <c r="I265" s="211" t="s">
        <v>1440</v>
      </c>
      <c r="J265" s="212" t="s">
        <v>638</v>
      </c>
      <c r="K265" s="211" t="s">
        <v>524</v>
      </c>
      <c r="L265" s="211" t="s">
        <v>1464</v>
      </c>
      <c r="AD265" s="213"/>
    </row>
    <row r="266" spans="1:30" s="211" customFormat="1" x14ac:dyDescent="0.25">
      <c r="A266" s="211" t="s">
        <v>117</v>
      </c>
      <c r="B266" s="211">
        <v>418</v>
      </c>
      <c r="C266" s="211" t="s">
        <v>256</v>
      </c>
      <c r="D266" s="211">
        <v>504044784</v>
      </c>
      <c r="E266" s="211">
        <v>1060</v>
      </c>
      <c r="G266" s="211">
        <v>1004</v>
      </c>
      <c r="I266" s="211" t="s">
        <v>3154</v>
      </c>
      <c r="J266" s="212" t="s">
        <v>638</v>
      </c>
      <c r="K266" s="211" t="s">
        <v>524</v>
      </c>
      <c r="L266" s="211" t="s">
        <v>3183</v>
      </c>
      <c r="AD266" s="213"/>
    </row>
    <row r="267" spans="1:30" s="211" customFormat="1" x14ac:dyDescent="0.25">
      <c r="A267" s="211" t="s">
        <v>117</v>
      </c>
      <c r="B267" s="211">
        <v>418</v>
      </c>
      <c r="C267" s="211" t="s">
        <v>256</v>
      </c>
      <c r="D267" s="211">
        <v>504044811</v>
      </c>
      <c r="E267" s="211">
        <v>1060</v>
      </c>
      <c r="F267" s="211">
        <v>1271</v>
      </c>
      <c r="G267" s="211">
        <v>1004</v>
      </c>
      <c r="I267" s="211" t="s">
        <v>3155</v>
      </c>
      <c r="J267" s="212" t="s">
        <v>638</v>
      </c>
      <c r="K267" s="211" t="s">
        <v>524</v>
      </c>
      <c r="L267" s="211" t="s">
        <v>3184</v>
      </c>
      <c r="AD267" s="213"/>
    </row>
    <row r="268" spans="1:30" s="211" customFormat="1" x14ac:dyDescent="0.25">
      <c r="A268" s="211" t="s">
        <v>117</v>
      </c>
      <c r="B268" s="211">
        <v>420</v>
      </c>
      <c r="C268" s="211" t="s">
        <v>257</v>
      </c>
      <c r="D268" s="211">
        <v>1315431</v>
      </c>
      <c r="E268" s="211">
        <v>1040</v>
      </c>
      <c r="G268" s="211">
        <v>1004</v>
      </c>
      <c r="I268" s="211" t="s">
        <v>1849</v>
      </c>
      <c r="J268" s="212" t="s">
        <v>638</v>
      </c>
      <c r="K268" s="211" t="s">
        <v>524</v>
      </c>
      <c r="L268" s="211" t="s">
        <v>1888</v>
      </c>
      <c r="AD268" s="213"/>
    </row>
    <row r="269" spans="1:30" s="211" customFormat="1" x14ac:dyDescent="0.25">
      <c r="A269" s="211" t="s">
        <v>117</v>
      </c>
      <c r="B269" s="211">
        <v>420</v>
      </c>
      <c r="C269" s="211" t="s">
        <v>257</v>
      </c>
      <c r="D269" s="211">
        <v>190091354</v>
      </c>
      <c r="E269" s="211">
        <v>1060</v>
      </c>
      <c r="G269" s="211">
        <v>1004</v>
      </c>
      <c r="I269" s="211" t="s">
        <v>1850</v>
      </c>
      <c r="J269" s="212" t="s">
        <v>638</v>
      </c>
      <c r="K269" s="211" t="s">
        <v>524</v>
      </c>
      <c r="L269" s="211" t="s">
        <v>1889</v>
      </c>
      <c r="AD269" s="213"/>
    </row>
    <row r="270" spans="1:30" s="211" customFormat="1" x14ac:dyDescent="0.25">
      <c r="A270" s="211" t="s">
        <v>117</v>
      </c>
      <c r="B270" s="211">
        <v>420</v>
      </c>
      <c r="C270" s="211" t="s">
        <v>257</v>
      </c>
      <c r="D270" s="211">
        <v>192024494</v>
      </c>
      <c r="E270" s="211">
        <v>1020</v>
      </c>
      <c r="F270" s="211">
        <v>1110</v>
      </c>
      <c r="G270" s="211">
        <v>1004</v>
      </c>
      <c r="I270" s="211" t="s">
        <v>2184</v>
      </c>
      <c r="J270" s="212" t="s">
        <v>638</v>
      </c>
      <c r="K270" s="211" t="s">
        <v>526</v>
      </c>
      <c r="L270" s="211" t="s">
        <v>2201</v>
      </c>
      <c r="AD270" s="213"/>
    </row>
    <row r="271" spans="1:30" s="211" customFormat="1" x14ac:dyDescent="0.25">
      <c r="A271" s="211" t="s">
        <v>117</v>
      </c>
      <c r="B271" s="211">
        <v>420</v>
      </c>
      <c r="C271" s="211" t="s">
        <v>257</v>
      </c>
      <c r="D271" s="211">
        <v>192024500</v>
      </c>
      <c r="E271" s="211">
        <v>1020</v>
      </c>
      <c r="F271" s="211">
        <v>1110</v>
      </c>
      <c r="G271" s="211">
        <v>1004</v>
      </c>
      <c r="I271" s="211" t="s">
        <v>2185</v>
      </c>
      <c r="J271" s="212" t="s">
        <v>638</v>
      </c>
      <c r="K271" s="211" t="s">
        <v>524</v>
      </c>
      <c r="L271" s="211" t="s">
        <v>2203</v>
      </c>
      <c r="AD271" s="213"/>
    </row>
    <row r="272" spans="1:30" s="211" customFormat="1" x14ac:dyDescent="0.25">
      <c r="A272" s="211" t="s">
        <v>117</v>
      </c>
      <c r="B272" s="211">
        <v>420</v>
      </c>
      <c r="C272" s="211" t="s">
        <v>257</v>
      </c>
      <c r="D272" s="211">
        <v>192024512</v>
      </c>
      <c r="E272" s="211">
        <v>1020</v>
      </c>
      <c r="F272" s="211">
        <v>1110</v>
      </c>
      <c r="G272" s="211">
        <v>1004</v>
      </c>
      <c r="I272" s="211" t="s">
        <v>2186</v>
      </c>
      <c r="J272" s="212" t="s">
        <v>638</v>
      </c>
      <c r="K272" s="211" t="s">
        <v>526</v>
      </c>
      <c r="L272" s="211" t="s">
        <v>2201</v>
      </c>
      <c r="AD272" s="213"/>
    </row>
    <row r="273" spans="1:30" s="211" customFormat="1" x14ac:dyDescent="0.25">
      <c r="A273" s="211" t="s">
        <v>117</v>
      </c>
      <c r="B273" s="211">
        <v>420</v>
      </c>
      <c r="C273" s="211" t="s">
        <v>257</v>
      </c>
      <c r="D273" s="211">
        <v>192024513</v>
      </c>
      <c r="E273" s="211">
        <v>1020</v>
      </c>
      <c r="F273" s="211">
        <v>1110</v>
      </c>
      <c r="G273" s="211">
        <v>1004</v>
      </c>
      <c r="I273" s="211" t="s">
        <v>2187</v>
      </c>
      <c r="J273" s="212" t="s">
        <v>638</v>
      </c>
      <c r="K273" s="211" t="s">
        <v>526</v>
      </c>
      <c r="L273" s="211" t="s">
        <v>2321</v>
      </c>
      <c r="AD273" s="213"/>
    </row>
    <row r="274" spans="1:30" s="211" customFormat="1" x14ac:dyDescent="0.25">
      <c r="A274" s="211" t="s">
        <v>117</v>
      </c>
      <c r="B274" s="211">
        <v>420</v>
      </c>
      <c r="C274" s="211" t="s">
        <v>257</v>
      </c>
      <c r="D274" s="211">
        <v>192024514</v>
      </c>
      <c r="E274" s="211">
        <v>1020</v>
      </c>
      <c r="F274" s="211">
        <v>1110</v>
      </c>
      <c r="G274" s="211">
        <v>1004</v>
      </c>
      <c r="I274" s="211" t="s">
        <v>2188</v>
      </c>
      <c r="J274" s="212" t="s">
        <v>638</v>
      </c>
      <c r="K274" s="211" t="s">
        <v>526</v>
      </c>
      <c r="L274" s="211" t="s">
        <v>2201</v>
      </c>
      <c r="AD274" s="213"/>
    </row>
    <row r="275" spans="1:30" s="211" customFormat="1" x14ac:dyDescent="0.25">
      <c r="A275" s="211" t="s">
        <v>117</v>
      </c>
      <c r="B275" s="211">
        <v>420</v>
      </c>
      <c r="C275" s="211" t="s">
        <v>257</v>
      </c>
      <c r="D275" s="211">
        <v>192024526</v>
      </c>
      <c r="E275" s="211">
        <v>1020</v>
      </c>
      <c r="F275" s="211">
        <v>1110</v>
      </c>
      <c r="G275" s="211">
        <v>1004</v>
      </c>
      <c r="I275" s="211" t="s">
        <v>2189</v>
      </c>
      <c r="J275" s="212" t="s">
        <v>638</v>
      </c>
      <c r="K275" s="211" t="s">
        <v>526</v>
      </c>
      <c r="L275" s="211" t="s">
        <v>2321</v>
      </c>
      <c r="AD275" s="213"/>
    </row>
    <row r="276" spans="1:30" s="211" customFormat="1" x14ac:dyDescent="0.25">
      <c r="A276" s="211" t="s">
        <v>117</v>
      </c>
      <c r="B276" s="211">
        <v>420</v>
      </c>
      <c r="C276" s="211" t="s">
        <v>257</v>
      </c>
      <c r="D276" s="211">
        <v>192024530</v>
      </c>
      <c r="E276" s="211">
        <v>1020</v>
      </c>
      <c r="F276" s="211">
        <v>1110</v>
      </c>
      <c r="G276" s="211">
        <v>1004</v>
      </c>
      <c r="I276" s="211" t="s">
        <v>2190</v>
      </c>
      <c r="J276" s="212" t="s">
        <v>638</v>
      </c>
      <c r="K276" s="211" t="s">
        <v>526</v>
      </c>
      <c r="L276" s="211" t="s">
        <v>2321</v>
      </c>
      <c r="AD276" s="213"/>
    </row>
    <row r="277" spans="1:30" s="211" customFormat="1" x14ac:dyDescent="0.25">
      <c r="A277" s="211" t="s">
        <v>117</v>
      </c>
      <c r="B277" s="211">
        <v>420</v>
      </c>
      <c r="C277" s="211" t="s">
        <v>257</v>
      </c>
      <c r="D277" s="211">
        <v>192024532</v>
      </c>
      <c r="E277" s="211">
        <v>1020</v>
      </c>
      <c r="F277" s="211">
        <v>1110</v>
      </c>
      <c r="G277" s="211">
        <v>1004</v>
      </c>
      <c r="I277" s="211" t="s">
        <v>2191</v>
      </c>
      <c r="J277" s="212" t="s">
        <v>638</v>
      </c>
      <c r="K277" s="211" t="s">
        <v>526</v>
      </c>
      <c r="L277" s="211" t="s">
        <v>2321</v>
      </c>
      <c r="AD277" s="213"/>
    </row>
    <row r="278" spans="1:30" s="211" customFormat="1" x14ac:dyDescent="0.25">
      <c r="A278" s="211" t="s">
        <v>117</v>
      </c>
      <c r="B278" s="211">
        <v>420</v>
      </c>
      <c r="C278" s="211" t="s">
        <v>257</v>
      </c>
      <c r="D278" s="211">
        <v>192024535</v>
      </c>
      <c r="E278" s="211">
        <v>1020</v>
      </c>
      <c r="F278" s="211">
        <v>1110</v>
      </c>
      <c r="G278" s="211">
        <v>1004</v>
      </c>
      <c r="I278" s="211" t="s">
        <v>2192</v>
      </c>
      <c r="J278" s="212" t="s">
        <v>638</v>
      </c>
      <c r="K278" s="211" t="s">
        <v>526</v>
      </c>
      <c r="L278" s="211" t="s">
        <v>2321</v>
      </c>
      <c r="AD278" s="213"/>
    </row>
    <row r="279" spans="1:30" s="211" customFormat="1" x14ac:dyDescent="0.25">
      <c r="A279" s="211" t="s">
        <v>117</v>
      </c>
      <c r="B279" s="211">
        <v>420</v>
      </c>
      <c r="C279" s="211" t="s">
        <v>257</v>
      </c>
      <c r="D279" s="211">
        <v>192048011</v>
      </c>
      <c r="E279" s="211">
        <v>1020</v>
      </c>
      <c r="F279" s="211">
        <v>1110</v>
      </c>
      <c r="G279" s="211">
        <v>1004</v>
      </c>
      <c r="I279" s="211" t="s">
        <v>3233</v>
      </c>
      <c r="J279" s="212" t="s">
        <v>638</v>
      </c>
      <c r="K279" s="211" t="s">
        <v>526</v>
      </c>
      <c r="L279" s="211" t="s">
        <v>3245</v>
      </c>
      <c r="AD279" s="213"/>
    </row>
    <row r="280" spans="1:30" s="211" customFormat="1" x14ac:dyDescent="0.25">
      <c r="A280" s="211" t="s">
        <v>117</v>
      </c>
      <c r="B280" s="211">
        <v>420</v>
      </c>
      <c r="C280" s="211" t="s">
        <v>257</v>
      </c>
      <c r="D280" s="211">
        <v>192048014</v>
      </c>
      <c r="E280" s="211">
        <v>1020</v>
      </c>
      <c r="F280" s="211">
        <v>1110</v>
      </c>
      <c r="G280" s="211">
        <v>1004</v>
      </c>
      <c r="I280" s="211" t="s">
        <v>3234</v>
      </c>
      <c r="J280" s="212" t="s">
        <v>638</v>
      </c>
      <c r="K280" s="211" t="s">
        <v>526</v>
      </c>
      <c r="L280" s="211" t="s">
        <v>3245</v>
      </c>
      <c r="AD280" s="213"/>
    </row>
    <row r="281" spans="1:30" s="211" customFormat="1" x14ac:dyDescent="0.25">
      <c r="A281" s="211" t="s">
        <v>117</v>
      </c>
      <c r="B281" s="211">
        <v>420</v>
      </c>
      <c r="C281" s="211" t="s">
        <v>257</v>
      </c>
      <c r="D281" s="211">
        <v>192048020</v>
      </c>
      <c r="E281" s="211">
        <v>1020</v>
      </c>
      <c r="F281" s="211">
        <v>1110</v>
      </c>
      <c r="G281" s="211">
        <v>1004</v>
      </c>
      <c r="I281" s="211" t="s">
        <v>3235</v>
      </c>
      <c r="J281" s="212" t="s">
        <v>638</v>
      </c>
      <c r="K281" s="211" t="s">
        <v>524</v>
      </c>
      <c r="L281" s="211" t="s">
        <v>3251</v>
      </c>
      <c r="AD281" s="213"/>
    </row>
    <row r="282" spans="1:30" s="211" customFormat="1" x14ac:dyDescent="0.25">
      <c r="A282" s="211" t="s">
        <v>117</v>
      </c>
      <c r="B282" s="211">
        <v>420</v>
      </c>
      <c r="C282" s="211" t="s">
        <v>257</v>
      </c>
      <c r="D282" s="211">
        <v>504064747</v>
      </c>
      <c r="E282" s="211">
        <v>1060</v>
      </c>
      <c r="F282" s="211">
        <v>1252</v>
      </c>
      <c r="G282" s="211">
        <v>1004</v>
      </c>
      <c r="I282" s="211" t="s">
        <v>3771</v>
      </c>
      <c r="J282" s="212" t="s">
        <v>638</v>
      </c>
      <c r="K282" s="211" t="s">
        <v>524</v>
      </c>
      <c r="L282" s="211" t="s">
        <v>3817</v>
      </c>
      <c r="AD282" s="213"/>
    </row>
    <row r="283" spans="1:30" s="211" customFormat="1" x14ac:dyDescent="0.25">
      <c r="A283" s="211" t="s">
        <v>117</v>
      </c>
      <c r="B283" s="211">
        <v>423</v>
      </c>
      <c r="C283" s="211" t="s">
        <v>260</v>
      </c>
      <c r="D283" s="211">
        <v>191953918</v>
      </c>
      <c r="E283" s="211">
        <v>1060</v>
      </c>
      <c r="F283" s="211">
        <v>1271</v>
      </c>
      <c r="G283" s="211">
        <v>1004</v>
      </c>
      <c r="I283" s="211" t="s">
        <v>1851</v>
      </c>
      <c r="J283" s="212" t="s">
        <v>638</v>
      </c>
      <c r="K283" s="211" t="s">
        <v>524</v>
      </c>
      <c r="L283" s="211" t="s">
        <v>1890</v>
      </c>
      <c r="AD283" s="213"/>
    </row>
    <row r="284" spans="1:30" s="211" customFormat="1" x14ac:dyDescent="0.25">
      <c r="A284" s="211" t="s">
        <v>117</v>
      </c>
      <c r="B284" s="211">
        <v>423</v>
      </c>
      <c r="C284" s="211" t="s">
        <v>260</v>
      </c>
      <c r="D284" s="211">
        <v>504051765</v>
      </c>
      <c r="E284" s="211">
        <v>1060</v>
      </c>
      <c r="G284" s="211">
        <v>1004</v>
      </c>
      <c r="I284" s="211" t="s">
        <v>2616</v>
      </c>
      <c r="J284" s="212" t="s">
        <v>638</v>
      </c>
      <c r="K284" s="211" t="s">
        <v>524</v>
      </c>
      <c r="L284" s="211" t="s">
        <v>2629</v>
      </c>
      <c r="AD284" s="213"/>
    </row>
    <row r="285" spans="1:30" s="211" customFormat="1" x14ac:dyDescent="0.25">
      <c r="A285" s="211" t="s">
        <v>117</v>
      </c>
      <c r="B285" s="211">
        <v>423</v>
      </c>
      <c r="C285" s="211" t="s">
        <v>260</v>
      </c>
      <c r="D285" s="211">
        <v>504051766</v>
      </c>
      <c r="E285" s="211">
        <v>1060</v>
      </c>
      <c r="G285" s="211">
        <v>1004</v>
      </c>
      <c r="I285" s="211" t="s">
        <v>2617</v>
      </c>
      <c r="J285" s="212" t="s">
        <v>638</v>
      </c>
      <c r="K285" s="211" t="s">
        <v>524</v>
      </c>
      <c r="L285" s="211" t="s">
        <v>2630</v>
      </c>
      <c r="AD285" s="213"/>
    </row>
    <row r="286" spans="1:30" s="211" customFormat="1" x14ac:dyDescent="0.25">
      <c r="A286" s="211" t="s">
        <v>117</v>
      </c>
      <c r="B286" s="211">
        <v>423</v>
      </c>
      <c r="C286" s="211" t="s">
        <v>260</v>
      </c>
      <c r="D286" s="211">
        <v>504051773</v>
      </c>
      <c r="E286" s="211">
        <v>1060</v>
      </c>
      <c r="F286" s="211">
        <v>1242</v>
      </c>
      <c r="G286" s="211">
        <v>1004</v>
      </c>
      <c r="I286" s="211" t="s">
        <v>2618</v>
      </c>
      <c r="J286" s="212" t="s">
        <v>638</v>
      </c>
      <c r="K286" s="211" t="s">
        <v>639</v>
      </c>
      <c r="L286" s="211" t="s">
        <v>2636</v>
      </c>
      <c r="AD286" s="213"/>
    </row>
    <row r="287" spans="1:30" s="211" customFormat="1" x14ac:dyDescent="0.25">
      <c r="A287" s="211" t="s">
        <v>117</v>
      </c>
      <c r="B287" s="211">
        <v>424</v>
      </c>
      <c r="C287" s="211" t="s">
        <v>261</v>
      </c>
      <c r="D287" s="211">
        <v>502135263</v>
      </c>
      <c r="E287" s="211">
        <v>1060</v>
      </c>
      <c r="G287" s="211">
        <v>1004</v>
      </c>
      <c r="I287" s="211" t="s">
        <v>3612</v>
      </c>
      <c r="J287" s="212" t="s">
        <v>638</v>
      </c>
      <c r="K287" s="211" t="s">
        <v>524</v>
      </c>
      <c r="L287" s="211" t="s">
        <v>3691</v>
      </c>
      <c r="AD287" s="213"/>
    </row>
    <row r="288" spans="1:30" s="211" customFormat="1" x14ac:dyDescent="0.25">
      <c r="A288" s="211" t="s">
        <v>117</v>
      </c>
      <c r="B288" s="211">
        <v>438</v>
      </c>
      <c r="C288" s="211" t="s">
        <v>268</v>
      </c>
      <c r="D288" s="211">
        <v>192048091</v>
      </c>
      <c r="E288" s="211">
        <v>1060</v>
      </c>
      <c r="F288" s="211">
        <v>1252</v>
      </c>
      <c r="G288" s="211">
        <v>1004</v>
      </c>
      <c r="I288" s="211" t="s">
        <v>3236</v>
      </c>
      <c r="J288" s="212" t="s">
        <v>638</v>
      </c>
      <c r="K288" s="211" t="s">
        <v>524</v>
      </c>
      <c r="L288" s="211" t="s">
        <v>3252</v>
      </c>
      <c r="AD288" s="213"/>
    </row>
    <row r="289" spans="1:30" s="211" customFormat="1" x14ac:dyDescent="0.25">
      <c r="A289" s="211" t="s">
        <v>117</v>
      </c>
      <c r="B289" s="211">
        <v>443</v>
      </c>
      <c r="C289" s="211" t="s">
        <v>271</v>
      </c>
      <c r="D289" s="211">
        <v>191972845</v>
      </c>
      <c r="E289" s="211">
        <v>1080</v>
      </c>
      <c r="F289" s="211">
        <v>1242</v>
      </c>
      <c r="G289" s="211">
        <v>1003</v>
      </c>
      <c r="I289" s="211" t="s">
        <v>940</v>
      </c>
      <c r="J289" s="212" t="s">
        <v>638</v>
      </c>
      <c r="K289" s="211" t="s">
        <v>639</v>
      </c>
      <c r="L289" s="211" t="s">
        <v>944</v>
      </c>
      <c r="AD289" s="213"/>
    </row>
    <row r="290" spans="1:30" s="211" customFormat="1" x14ac:dyDescent="0.25">
      <c r="A290" s="211" t="s">
        <v>117</v>
      </c>
      <c r="B290" s="211">
        <v>443</v>
      </c>
      <c r="C290" s="211" t="s">
        <v>271</v>
      </c>
      <c r="D290" s="211">
        <v>192018328</v>
      </c>
      <c r="E290" s="211">
        <v>1020</v>
      </c>
      <c r="F290" s="211">
        <v>1110</v>
      </c>
      <c r="G290" s="211">
        <v>1003</v>
      </c>
      <c r="I290" s="211" t="s">
        <v>1985</v>
      </c>
      <c r="J290" s="212" t="s">
        <v>638</v>
      </c>
      <c r="K290" s="211" t="s">
        <v>639</v>
      </c>
      <c r="L290" s="211" t="s">
        <v>2044</v>
      </c>
      <c r="AD290" s="213"/>
    </row>
    <row r="291" spans="1:30" s="211" customFormat="1" x14ac:dyDescent="0.25">
      <c r="A291" s="211" t="s">
        <v>117</v>
      </c>
      <c r="B291" s="211">
        <v>443</v>
      </c>
      <c r="C291" s="211" t="s">
        <v>271</v>
      </c>
      <c r="D291" s="211">
        <v>192034001</v>
      </c>
      <c r="E291" s="211">
        <v>1080</v>
      </c>
      <c r="F291" s="211">
        <v>1241</v>
      </c>
      <c r="G291" s="211">
        <v>1004</v>
      </c>
      <c r="I291" s="211" t="s">
        <v>2515</v>
      </c>
      <c r="J291" s="212" t="s">
        <v>638</v>
      </c>
      <c r="K291" s="211" t="s">
        <v>639</v>
      </c>
      <c r="L291" s="211" t="s">
        <v>2543</v>
      </c>
      <c r="AD291" s="213"/>
    </row>
    <row r="292" spans="1:30" s="211" customFormat="1" x14ac:dyDescent="0.25">
      <c r="A292" s="211" t="s">
        <v>117</v>
      </c>
      <c r="B292" s="211">
        <v>443</v>
      </c>
      <c r="C292" s="211" t="s">
        <v>271</v>
      </c>
      <c r="D292" s="211">
        <v>192047985</v>
      </c>
      <c r="E292" s="211">
        <v>1080</v>
      </c>
      <c r="F292" s="211">
        <v>1242</v>
      </c>
      <c r="G292" s="211">
        <v>1004</v>
      </c>
      <c r="I292" s="211" t="s">
        <v>3237</v>
      </c>
      <c r="J292" s="212" t="s">
        <v>638</v>
      </c>
      <c r="K292" s="211" t="s">
        <v>639</v>
      </c>
      <c r="L292" s="211" t="s">
        <v>3259</v>
      </c>
      <c r="AD292" s="213"/>
    </row>
    <row r="293" spans="1:30" s="211" customFormat="1" x14ac:dyDescent="0.25">
      <c r="A293" s="211" t="s">
        <v>117</v>
      </c>
      <c r="B293" s="211">
        <v>443</v>
      </c>
      <c r="C293" s="211" t="s">
        <v>271</v>
      </c>
      <c r="D293" s="211">
        <v>504001633</v>
      </c>
      <c r="E293" s="211">
        <v>1060</v>
      </c>
      <c r="F293" s="211">
        <v>1274</v>
      </c>
      <c r="G293" s="211">
        <v>1004</v>
      </c>
      <c r="I293" s="211" t="s">
        <v>3371</v>
      </c>
      <c r="J293" s="212" t="s">
        <v>638</v>
      </c>
      <c r="K293" s="211" t="s">
        <v>524</v>
      </c>
      <c r="L293" s="211" t="s">
        <v>3411</v>
      </c>
      <c r="AD293" s="213"/>
    </row>
    <row r="294" spans="1:30" s="211" customFormat="1" x14ac:dyDescent="0.25">
      <c r="A294" s="211" t="s">
        <v>117</v>
      </c>
      <c r="B294" s="211">
        <v>443</v>
      </c>
      <c r="C294" s="211" t="s">
        <v>271</v>
      </c>
      <c r="D294" s="211">
        <v>504001946</v>
      </c>
      <c r="E294" s="211">
        <v>1060</v>
      </c>
      <c r="F294" s="211">
        <v>1274</v>
      </c>
      <c r="G294" s="211">
        <v>1004</v>
      </c>
      <c r="I294" s="211" t="s">
        <v>3613</v>
      </c>
      <c r="J294" s="212" t="s">
        <v>638</v>
      </c>
      <c r="K294" s="211" t="s">
        <v>524</v>
      </c>
      <c r="L294" s="211" t="s">
        <v>3692</v>
      </c>
      <c r="AD294" s="213"/>
    </row>
    <row r="295" spans="1:30" s="211" customFormat="1" x14ac:dyDescent="0.25">
      <c r="A295" s="211" t="s">
        <v>117</v>
      </c>
      <c r="B295" s="211">
        <v>444</v>
      </c>
      <c r="C295" s="211" t="s">
        <v>272</v>
      </c>
      <c r="D295" s="211">
        <v>191971642</v>
      </c>
      <c r="E295" s="211">
        <v>1080</v>
      </c>
      <c r="F295" s="211">
        <v>1242</v>
      </c>
      <c r="G295" s="211">
        <v>1003</v>
      </c>
      <c r="I295" s="211" t="s">
        <v>1852</v>
      </c>
      <c r="J295" s="212" t="s">
        <v>638</v>
      </c>
      <c r="K295" s="211" t="s">
        <v>524</v>
      </c>
      <c r="L295" s="211" t="s">
        <v>1891</v>
      </c>
      <c r="AD295" s="213"/>
    </row>
    <row r="296" spans="1:30" s="211" customFormat="1" x14ac:dyDescent="0.25">
      <c r="A296" s="211" t="s">
        <v>117</v>
      </c>
      <c r="B296" s="211">
        <v>446</v>
      </c>
      <c r="C296" s="211" t="s">
        <v>274</v>
      </c>
      <c r="D296" s="211">
        <v>502093901</v>
      </c>
      <c r="E296" s="211">
        <v>1060</v>
      </c>
      <c r="F296" s="211">
        <v>1271</v>
      </c>
      <c r="G296" s="211">
        <v>1004</v>
      </c>
      <c r="I296" s="211" t="s">
        <v>3772</v>
      </c>
      <c r="J296" s="212" t="s">
        <v>638</v>
      </c>
      <c r="K296" s="211" t="s">
        <v>524</v>
      </c>
      <c r="L296" s="211" t="s">
        <v>3818</v>
      </c>
      <c r="AD296" s="213"/>
    </row>
    <row r="297" spans="1:30" s="211" customFormat="1" x14ac:dyDescent="0.25">
      <c r="A297" s="211" t="s">
        <v>117</v>
      </c>
      <c r="B297" s="211">
        <v>493</v>
      </c>
      <c r="C297" s="211" t="s">
        <v>280</v>
      </c>
      <c r="D297" s="211">
        <v>191990436</v>
      </c>
      <c r="E297" s="211">
        <v>1060</v>
      </c>
      <c r="F297" s="211">
        <v>1271</v>
      </c>
      <c r="G297" s="211">
        <v>1004</v>
      </c>
      <c r="I297" s="211" t="s">
        <v>2994</v>
      </c>
      <c r="J297" s="212" t="s">
        <v>638</v>
      </c>
      <c r="K297" s="211" t="s">
        <v>524</v>
      </c>
      <c r="L297" s="211" t="s">
        <v>3004</v>
      </c>
      <c r="AD297" s="213"/>
    </row>
    <row r="298" spans="1:30" s="211" customFormat="1" x14ac:dyDescent="0.25">
      <c r="A298" s="211" t="s">
        <v>117</v>
      </c>
      <c r="B298" s="211">
        <v>493</v>
      </c>
      <c r="C298" s="211" t="s">
        <v>280</v>
      </c>
      <c r="D298" s="211">
        <v>192000710</v>
      </c>
      <c r="E298" s="211">
        <v>1060</v>
      </c>
      <c r="F298" s="211">
        <v>1274</v>
      </c>
      <c r="G298" s="211">
        <v>1003</v>
      </c>
      <c r="I298" s="211" t="s">
        <v>1596</v>
      </c>
      <c r="J298" s="212" t="s">
        <v>638</v>
      </c>
      <c r="K298" s="211" t="s">
        <v>524</v>
      </c>
      <c r="L298" s="211" t="s">
        <v>1608</v>
      </c>
      <c r="AD298" s="213"/>
    </row>
    <row r="299" spans="1:30" s="211" customFormat="1" x14ac:dyDescent="0.25">
      <c r="A299" s="211" t="s">
        <v>117</v>
      </c>
      <c r="B299" s="211">
        <v>494</v>
      </c>
      <c r="C299" s="211" t="s">
        <v>281</v>
      </c>
      <c r="D299" s="211">
        <v>1323974</v>
      </c>
      <c r="E299" s="211">
        <v>1020</v>
      </c>
      <c r="F299" s="211">
        <v>1121</v>
      </c>
      <c r="G299" s="211">
        <v>1004</v>
      </c>
      <c r="I299" s="211" t="s">
        <v>2678</v>
      </c>
      <c r="J299" s="212" t="s">
        <v>638</v>
      </c>
      <c r="K299" s="211" t="s">
        <v>639</v>
      </c>
      <c r="L299" s="211" t="s">
        <v>2703</v>
      </c>
      <c r="AD299" s="213"/>
    </row>
    <row r="300" spans="1:30" s="211" customFormat="1" x14ac:dyDescent="0.25">
      <c r="A300" s="211" t="s">
        <v>117</v>
      </c>
      <c r="B300" s="211">
        <v>495</v>
      </c>
      <c r="C300" s="211" t="s">
        <v>282</v>
      </c>
      <c r="D300" s="211">
        <v>191973046</v>
      </c>
      <c r="E300" s="211">
        <v>1060</v>
      </c>
      <c r="F300" s="211">
        <v>1242</v>
      </c>
      <c r="G300" s="211">
        <v>1004</v>
      </c>
      <c r="I300" s="211" t="s">
        <v>3024</v>
      </c>
      <c r="J300" s="212" t="s">
        <v>638</v>
      </c>
      <c r="K300" s="211" t="s">
        <v>524</v>
      </c>
      <c r="L300" s="211" t="s">
        <v>3108</v>
      </c>
      <c r="AD300" s="213"/>
    </row>
    <row r="301" spans="1:30" s="211" customFormat="1" x14ac:dyDescent="0.25">
      <c r="A301" s="211" t="s">
        <v>117</v>
      </c>
      <c r="B301" s="211">
        <v>496</v>
      </c>
      <c r="C301" s="211" t="s">
        <v>283</v>
      </c>
      <c r="D301" s="211">
        <v>191906788</v>
      </c>
      <c r="E301" s="211">
        <v>1060</v>
      </c>
      <c r="F301" s="211">
        <v>1274</v>
      </c>
      <c r="G301" s="211">
        <v>1004</v>
      </c>
      <c r="I301" s="211" t="s">
        <v>2791</v>
      </c>
      <c r="J301" s="212" t="s">
        <v>638</v>
      </c>
      <c r="K301" s="211" t="s">
        <v>524</v>
      </c>
      <c r="L301" s="211" t="s">
        <v>2824</v>
      </c>
      <c r="AD301" s="213"/>
    </row>
    <row r="302" spans="1:30" s="211" customFormat="1" x14ac:dyDescent="0.25">
      <c r="A302" s="211" t="s">
        <v>117</v>
      </c>
      <c r="B302" s="211">
        <v>496</v>
      </c>
      <c r="C302" s="211" t="s">
        <v>283</v>
      </c>
      <c r="D302" s="211">
        <v>192021555</v>
      </c>
      <c r="E302" s="211">
        <v>1060</v>
      </c>
      <c r="F302" s="211">
        <v>1242</v>
      </c>
      <c r="G302" s="211">
        <v>1004</v>
      </c>
      <c r="I302" s="211" t="s">
        <v>2598</v>
      </c>
      <c r="J302" s="212" t="s">
        <v>638</v>
      </c>
      <c r="K302" s="211" t="s">
        <v>524</v>
      </c>
      <c r="L302" s="211" t="s">
        <v>2607</v>
      </c>
      <c r="AD302" s="213"/>
    </row>
    <row r="303" spans="1:30" s="211" customFormat="1" x14ac:dyDescent="0.25">
      <c r="A303" s="211" t="s">
        <v>117</v>
      </c>
      <c r="B303" s="211">
        <v>496</v>
      </c>
      <c r="C303" s="211" t="s">
        <v>283</v>
      </c>
      <c r="D303" s="211">
        <v>192021556</v>
      </c>
      <c r="E303" s="211">
        <v>1060</v>
      </c>
      <c r="F303" s="211">
        <v>1242</v>
      </c>
      <c r="G303" s="211">
        <v>1004</v>
      </c>
      <c r="I303" s="211" t="s">
        <v>2599</v>
      </c>
      <c r="J303" s="212" t="s">
        <v>638</v>
      </c>
      <c r="K303" s="211" t="s">
        <v>524</v>
      </c>
      <c r="L303" s="211" t="s">
        <v>2608</v>
      </c>
      <c r="AD303" s="213"/>
    </row>
    <row r="304" spans="1:30" s="211" customFormat="1" x14ac:dyDescent="0.25">
      <c r="A304" s="211" t="s">
        <v>117</v>
      </c>
      <c r="B304" s="211">
        <v>496</v>
      </c>
      <c r="C304" s="211" t="s">
        <v>283</v>
      </c>
      <c r="D304" s="211">
        <v>192021557</v>
      </c>
      <c r="E304" s="211">
        <v>1060</v>
      </c>
      <c r="F304" s="211">
        <v>1242</v>
      </c>
      <c r="G304" s="211">
        <v>1004</v>
      </c>
      <c r="I304" s="211" t="s">
        <v>2600</v>
      </c>
      <c r="J304" s="212" t="s">
        <v>638</v>
      </c>
      <c r="K304" s="211" t="s">
        <v>524</v>
      </c>
      <c r="L304" s="211" t="s">
        <v>2609</v>
      </c>
      <c r="AD304" s="213"/>
    </row>
    <row r="305" spans="1:30" s="211" customFormat="1" x14ac:dyDescent="0.25">
      <c r="A305" s="211" t="s">
        <v>117</v>
      </c>
      <c r="B305" s="211">
        <v>496</v>
      </c>
      <c r="C305" s="211" t="s">
        <v>283</v>
      </c>
      <c r="D305" s="211">
        <v>192021558</v>
      </c>
      <c r="E305" s="211">
        <v>1060</v>
      </c>
      <c r="F305" s="211">
        <v>1242</v>
      </c>
      <c r="G305" s="211">
        <v>1004</v>
      </c>
      <c r="I305" s="211" t="s">
        <v>2601</v>
      </c>
      <c r="J305" s="212" t="s">
        <v>638</v>
      </c>
      <c r="K305" s="211" t="s">
        <v>524</v>
      </c>
      <c r="L305" s="211" t="s">
        <v>2610</v>
      </c>
      <c r="AD305" s="213"/>
    </row>
    <row r="306" spans="1:30" s="211" customFormat="1" x14ac:dyDescent="0.25">
      <c r="A306" s="211" t="s">
        <v>117</v>
      </c>
      <c r="B306" s="211">
        <v>496</v>
      </c>
      <c r="C306" s="211" t="s">
        <v>283</v>
      </c>
      <c r="D306" s="211">
        <v>192021559</v>
      </c>
      <c r="E306" s="211">
        <v>1060</v>
      </c>
      <c r="F306" s="211">
        <v>1242</v>
      </c>
      <c r="G306" s="211">
        <v>1004</v>
      </c>
      <c r="I306" s="211" t="s">
        <v>2602</v>
      </c>
      <c r="J306" s="212" t="s">
        <v>638</v>
      </c>
      <c r="K306" s="211" t="s">
        <v>524</v>
      </c>
      <c r="L306" s="211" t="s">
        <v>2611</v>
      </c>
      <c r="AD306" s="213"/>
    </row>
    <row r="307" spans="1:30" s="211" customFormat="1" x14ac:dyDescent="0.25">
      <c r="A307" s="211" t="s">
        <v>117</v>
      </c>
      <c r="B307" s="211">
        <v>498</v>
      </c>
      <c r="C307" s="211" t="s">
        <v>285</v>
      </c>
      <c r="D307" s="211">
        <v>192013885</v>
      </c>
      <c r="E307" s="211">
        <v>1060</v>
      </c>
      <c r="F307" s="211">
        <v>1252</v>
      </c>
      <c r="G307" s="211">
        <v>1004</v>
      </c>
      <c r="I307" s="211" t="s">
        <v>1715</v>
      </c>
      <c r="J307" s="212" t="s">
        <v>638</v>
      </c>
      <c r="K307" s="211" t="s">
        <v>524</v>
      </c>
      <c r="L307" s="211" t="s">
        <v>1742</v>
      </c>
      <c r="AD307" s="213"/>
    </row>
    <row r="308" spans="1:30" s="211" customFormat="1" x14ac:dyDescent="0.25">
      <c r="A308" s="211" t="s">
        <v>117</v>
      </c>
      <c r="B308" s="211">
        <v>500</v>
      </c>
      <c r="C308" s="211" t="s">
        <v>287</v>
      </c>
      <c r="D308" s="211">
        <v>192034719</v>
      </c>
      <c r="E308" s="211">
        <v>1060</v>
      </c>
      <c r="F308" s="211">
        <v>1241</v>
      </c>
      <c r="G308" s="211">
        <v>1004</v>
      </c>
      <c r="I308" s="211" t="s">
        <v>2946</v>
      </c>
      <c r="J308" s="212" t="s">
        <v>638</v>
      </c>
      <c r="K308" s="211" t="s">
        <v>524</v>
      </c>
      <c r="L308" s="211" t="s">
        <v>2972</v>
      </c>
      <c r="AD308" s="213"/>
    </row>
    <row r="309" spans="1:30" s="211" customFormat="1" x14ac:dyDescent="0.25">
      <c r="A309" s="211" t="s">
        <v>117</v>
      </c>
      <c r="B309" s="211">
        <v>501</v>
      </c>
      <c r="C309" s="211" t="s">
        <v>288</v>
      </c>
      <c r="D309" s="211">
        <v>191965207</v>
      </c>
      <c r="E309" s="211">
        <v>1060</v>
      </c>
      <c r="F309" s="211">
        <v>1252</v>
      </c>
      <c r="G309" s="211">
        <v>1003</v>
      </c>
      <c r="I309" s="211" t="s">
        <v>1659</v>
      </c>
      <c r="J309" s="212" t="s">
        <v>638</v>
      </c>
      <c r="K309" s="211" t="s">
        <v>524</v>
      </c>
      <c r="L309" s="211" t="s">
        <v>1661</v>
      </c>
      <c r="AD309" s="213"/>
    </row>
    <row r="310" spans="1:30" s="211" customFormat="1" x14ac:dyDescent="0.25">
      <c r="A310" s="211" t="s">
        <v>117</v>
      </c>
      <c r="B310" s="211">
        <v>501</v>
      </c>
      <c r="C310" s="211" t="s">
        <v>288</v>
      </c>
      <c r="D310" s="211">
        <v>192004075</v>
      </c>
      <c r="E310" s="211">
        <v>1060</v>
      </c>
      <c r="F310" s="211">
        <v>1242</v>
      </c>
      <c r="G310" s="211">
        <v>1004</v>
      </c>
      <c r="I310" s="211" t="s">
        <v>1709</v>
      </c>
      <c r="J310" s="212" t="s">
        <v>638</v>
      </c>
      <c r="K310" s="211" t="s">
        <v>639</v>
      </c>
      <c r="L310" s="211" t="s">
        <v>1714</v>
      </c>
      <c r="AD310" s="213"/>
    </row>
    <row r="311" spans="1:30" s="211" customFormat="1" x14ac:dyDescent="0.25">
      <c r="A311" s="211" t="s">
        <v>117</v>
      </c>
      <c r="B311" s="211">
        <v>538</v>
      </c>
      <c r="C311" s="211" t="s">
        <v>292</v>
      </c>
      <c r="D311" s="211">
        <v>2237709</v>
      </c>
      <c r="E311" s="211">
        <v>1060</v>
      </c>
      <c r="G311" s="211">
        <v>1004</v>
      </c>
      <c r="I311" s="211" t="s">
        <v>1642</v>
      </c>
      <c r="J311" s="212" t="s">
        <v>638</v>
      </c>
      <c r="K311" s="211" t="s">
        <v>639</v>
      </c>
      <c r="L311" s="211" t="s">
        <v>1643</v>
      </c>
      <c r="AD311" s="213"/>
    </row>
    <row r="312" spans="1:30" s="211" customFormat="1" x14ac:dyDescent="0.25">
      <c r="A312" s="211" t="s">
        <v>117</v>
      </c>
      <c r="B312" s="211">
        <v>538</v>
      </c>
      <c r="C312" s="211" t="s">
        <v>292</v>
      </c>
      <c r="D312" s="211">
        <v>191874153</v>
      </c>
      <c r="E312" s="211">
        <v>1060</v>
      </c>
      <c r="F312" s="211">
        <v>1274</v>
      </c>
      <c r="G312" s="211">
        <v>1004</v>
      </c>
      <c r="I312" s="211" t="s">
        <v>1327</v>
      </c>
      <c r="J312" s="212" t="s">
        <v>638</v>
      </c>
      <c r="K312" s="211" t="s">
        <v>639</v>
      </c>
      <c r="L312" s="211" t="s">
        <v>1419</v>
      </c>
      <c r="AD312" s="213"/>
    </row>
    <row r="313" spans="1:30" s="211" customFormat="1" x14ac:dyDescent="0.25">
      <c r="A313" s="211" t="s">
        <v>117</v>
      </c>
      <c r="B313" s="211">
        <v>538</v>
      </c>
      <c r="C313" s="211" t="s">
        <v>292</v>
      </c>
      <c r="D313" s="211">
        <v>192035389</v>
      </c>
      <c r="E313" s="211">
        <v>1060</v>
      </c>
      <c r="G313" s="211">
        <v>1004</v>
      </c>
      <c r="I313" s="211" t="s">
        <v>2580</v>
      </c>
      <c r="J313" s="212" t="s">
        <v>638</v>
      </c>
      <c r="K313" s="211" t="s">
        <v>524</v>
      </c>
      <c r="L313" s="211" t="s">
        <v>2588</v>
      </c>
      <c r="AD313" s="213"/>
    </row>
    <row r="314" spans="1:30" s="211" customFormat="1" x14ac:dyDescent="0.25">
      <c r="A314" s="211" t="s">
        <v>117</v>
      </c>
      <c r="B314" s="211">
        <v>538</v>
      </c>
      <c r="C314" s="211" t="s">
        <v>292</v>
      </c>
      <c r="D314" s="211">
        <v>502122621</v>
      </c>
      <c r="E314" s="211">
        <v>1060</v>
      </c>
      <c r="F314" s="211">
        <v>1242</v>
      </c>
      <c r="G314" s="211">
        <v>1004</v>
      </c>
      <c r="I314" s="211" t="s">
        <v>3282</v>
      </c>
      <c r="J314" s="212" t="s">
        <v>638</v>
      </c>
      <c r="K314" s="211" t="s">
        <v>524</v>
      </c>
      <c r="L314" s="211" t="s">
        <v>3336</v>
      </c>
      <c r="AD314" s="213"/>
    </row>
    <row r="315" spans="1:30" s="211" customFormat="1" x14ac:dyDescent="0.25">
      <c r="A315" s="211" t="s">
        <v>117</v>
      </c>
      <c r="B315" s="211">
        <v>538</v>
      </c>
      <c r="C315" s="211" t="s">
        <v>292</v>
      </c>
      <c r="D315" s="211">
        <v>502123198</v>
      </c>
      <c r="E315" s="211">
        <v>1060</v>
      </c>
      <c r="F315" s="211">
        <v>1252</v>
      </c>
      <c r="G315" s="211">
        <v>1004</v>
      </c>
      <c r="I315" s="211" t="s">
        <v>1328</v>
      </c>
      <c r="J315" s="212" t="s">
        <v>638</v>
      </c>
      <c r="K315" s="211" t="s">
        <v>639</v>
      </c>
      <c r="L315" s="211" t="s">
        <v>1420</v>
      </c>
      <c r="AD315" s="213"/>
    </row>
    <row r="316" spans="1:30" s="211" customFormat="1" x14ac:dyDescent="0.25">
      <c r="A316" s="211" t="s">
        <v>117</v>
      </c>
      <c r="B316" s="211">
        <v>538</v>
      </c>
      <c r="C316" s="211" t="s">
        <v>292</v>
      </c>
      <c r="D316" s="211">
        <v>502123218</v>
      </c>
      <c r="E316" s="211">
        <v>1060</v>
      </c>
      <c r="F316" s="211">
        <v>1271</v>
      </c>
      <c r="G316" s="211">
        <v>1004</v>
      </c>
      <c r="I316" s="211" t="s">
        <v>3372</v>
      </c>
      <c r="J316" s="212" t="s">
        <v>638</v>
      </c>
      <c r="K316" s="211" t="s">
        <v>524</v>
      </c>
      <c r="L316" s="211" t="s">
        <v>3412</v>
      </c>
      <c r="AD316" s="213"/>
    </row>
    <row r="317" spans="1:30" s="211" customFormat="1" x14ac:dyDescent="0.25">
      <c r="A317" s="211" t="s">
        <v>117</v>
      </c>
      <c r="B317" s="211">
        <v>538</v>
      </c>
      <c r="C317" s="211" t="s">
        <v>292</v>
      </c>
      <c r="D317" s="211">
        <v>502123234</v>
      </c>
      <c r="E317" s="211">
        <v>1060</v>
      </c>
      <c r="F317" s="211">
        <v>1271</v>
      </c>
      <c r="G317" s="211">
        <v>1004</v>
      </c>
      <c r="I317" s="211" t="s">
        <v>3373</v>
      </c>
      <c r="J317" s="212" t="s">
        <v>638</v>
      </c>
      <c r="K317" s="211" t="s">
        <v>524</v>
      </c>
      <c r="L317" s="211" t="s">
        <v>3413</v>
      </c>
      <c r="AD317" s="213"/>
    </row>
    <row r="318" spans="1:30" s="211" customFormat="1" x14ac:dyDescent="0.25">
      <c r="A318" s="211" t="s">
        <v>117</v>
      </c>
      <c r="B318" s="211">
        <v>540</v>
      </c>
      <c r="C318" s="211" t="s">
        <v>293</v>
      </c>
      <c r="D318" s="211">
        <v>191959328</v>
      </c>
      <c r="E318" s="211">
        <v>1060</v>
      </c>
      <c r="F318" s="211">
        <v>1274</v>
      </c>
      <c r="G318" s="211">
        <v>1004</v>
      </c>
      <c r="I318" s="211" t="s">
        <v>647</v>
      </c>
      <c r="J318" s="212" t="s">
        <v>638</v>
      </c>
      <c r="K318" s="211" t="s">
        <v>639</v>
      </c>
      <c r="L318" s="211" t="s">
        <v>913</v>
      </c>
      <c r="AD318" s="213"/>
    </row>
    <row r="319" spans="1:30" s="211" customFormat="1" x14ac:dyDescent="0.25">
      <c r="A319" s="211" t="s">
        <v>117</v>
      </c>
      <c r="B319" s="211">
        <v>540</v>
      </c>
      <c r="C319" s="211" t="s">
        <v>293</v>
      </c>
      <c r="D319" s="211">
        <v>192023998</v>
      </c>
      <c r="E319" s="211">
        <v>1060</v>
      </c>
      <c r="F319" s="211">
        <v>1242</v>
      </c>
      <c r="G319" s="211">
        <v>1004</v>
      </c>
      <c r="I319" s="211" t="s">
        <v>2193</v>
      </c>
      <c r="J319" s="212" t="s">
        <v>638</v>
      </c>
      <c r="K319" s="211" t="s">
        <v>524</v>
      </c>
      <c r="L319" s="211" t="s">
        <v>2204</v>
      </c>
      <c r="AD319" s="213"/>
    </row>
    <row r="320" spans="1:30" s="211" customFormat="1" x14ac:dyDescent="0.25">
      <c r="A320" s="211" t="s">
        <v>117</v>
      </c>
      <c r="B320" s="211">
        <v>540</v>
      </c>
      <c r="C320" s="211" t="s">
        <v>293</v>
      </c>
      <c r="D320" s="211">
        <v>192044551</v>
      </c>
      <c r="E320" s="211">
        <v>1020</v>
      </c>
      <c r="F320" s="211">
        <v>1110</v>
      </c>
      <c r="G320" s="211">
        <v>1003</v>
      </c>
      <c r="I320" s="211" t="s">
        <v>3238</v>
      </c>
      <c r="J320" s="212" t="s">
        <v>638</v>
      </c>
      <c r="K320" s="211" t="s">
        <v>524</v>
      </c>
      <c r="L320" s="211" t="s">
        <v>3253</v>
      </c>
      <c r="AD320" s="213"/>
    </row>
    <row r="321" spans="1:30" s="211" customFormat="1" x14ac:dyDescent="0.25">
      <c r="A321" s="211" t="s">
        <v>117</v>
      </c>
      <c r="B321" s="211">
        <v>540</v>
      </c>
      <c r="C321" s="211" t="s">
        <v>293</v>
      </c>
      <c r="D321" s="211">
        <v>502050081</v>
      </c>
      <c r="E321" s="211">
        <v>1060</v>
      </c>
      <c r="F321" s="211">
        <v>1242</v>
      </c>
      <c r="G321" s="211">
        <v>1004</v>
      </c>
      <c r="I321" s="211" t="s">
        <v>2711</v>
      </c>
      <c r="J321" s="212" t="s">
        <v>638</v>
      </c>
      <c r="K321" s="211" t="s">
        <v>524</v>
      </c>
      <c r="L321" s="211" t="s">
        <v>2733</v>
      </c>
      <c r="AD321" s="213"/>
    </row>
    <row r="322" spans="1:30" s="211" customFormat="1" x14ac:dyDescent="0.25">
      <c r="A322" s="211" t="s">
        <v>117</v>
      </c>
      <c r="B322" s="211">
        <v>540</v>
      </c>
      <c r="C322" s="211" t="s">
        <v>293</v>
      </c>
      <c r="D322" s="211">
        <v>502050118</v>
      </c>
      <c r="E322" s="211">
        <v>1060</v>
      </c>
      <c r="F322" s="211">
        <v>1242</v>
      </c>
      <c r="G322" s="211">
        <v>1004</v>
      </c>
      <c r="I322" s="211" t="s">
        <v>2712</v>
      </c>
      <c r="J322" s="212" t="s">
        <v>638</v>
      </c>
      <c r="K322" s="211" t="s">
        <v>524</v>
      </c>
      <c r="L322" s="211" t="s">
        <v>2734</v>
      </c>
      <c r="AD322" s="213"/>
    </row>
    <row r="323" spans="1:30" s="211" customFormat="1" x14ac:dyDescent="0.25">
      <c r="A323" s="211" t="s">
        <v>117</v>
      </c>
      <c r="B323" s="211">
        <v>541</v>
      </c>
      <c r="C323" s="211" t="s">
        <v>294</v>
      </c>
      <c r="D323" s="211">
        <v>1328946</v>
      </c>
      <c r="E323" s="211">
        <v>1040</v>
      </c>
      <c r="G323" s="211">
        <v>1004</v>
      </c>
      <c r="I323" s="211" t="s">
        <v>3025</v>
      </c>
      <c r="J323" s="212" t="s">
        <v>638</v>
      </c>
      <c r="K323" s="211" t="s">
        <v>639</v>
      </c>
      <c r="L323" s="211" t="s">
        <v>3134</v>
      </c>
      <c r="AD323" s="213"/>
    </row>
    <row r="324" spans="1:30" s="211" customFormat="1" x14ac:dyDescent="0.25">
      <c r="A324" s="211" t="s">
        <v>117</v>
      </c>
      <c r="B324" s="211">
        <v>546</v>
      </c>
      <c r="C324" s="211" t="s">
        <v>297</v>
      </c>
      <c r="D324" s="211">
        <v>191958690</v>
      </c>
      <c r="E324" s="211">
        <v>1060</v>
      </c>
      <c r="F324" s="211">
        <v>1220</v>
      </c>
      <c r="G324" s="211">
        <v>1004</v>
      </c>
      <c r="I324" s="211" t="s">
        <v>1710</v>
      </c>
      <c r="J324" s="212" t="s">
        <v>638</v>
      </c>
      <c r="K324" s="211" t="s">
        <v>524</v>
      </c>
      <c r="L324" s="211" t="s">
        <v>2873</v>
      </c>
      <c r="AD324" s="213"/>
    </row>
    <row r="325" spans="1:30" s="211" customFormat="1" x14ac:dyDescent="0.25">
      <c r="A325" s="211" t="s">
        <v>117</v>
      </c>
      <c r="B325" s="211">
        <v>546</v>
      </c>
      <c r="C325" s="211" t="s">
        <v>297</v>
      </c>
      <c r="D325" s="211">
        <v>192023066</v>
      </c>
      <c r="E325" s="211">
        <v>1060</v>
      </c>
      <c r="F325" s="211">
        <v>1261</v>
      </c>
      <c r="G325" s="211">
        <v>1004</v>
      </c>
      <c r="I325" s="211" t="s">
        <v>2160</v>
      </c>
      <c r="J325" s="212" t="s">
        <v>638</v>
      </c>
      <c r="K325" s="211" t="s">
        <v>524</v>
      </c>
      <c r="L325" s="211" t="s">
        <v>2168</v>
      </c>
      <c r="AD325" s="213"/>
    </row>
    <row r="326" spans="1:30" s="211" customFormat="1" x14ac:dyDescent="0.25">
      <c r="A326" s="211" t="s">
        <v>117</v>
      </c>
      <c r="B326" s="211">
        <v>546</v>
      </c>
      <c r="C326" s="211" t="s">
        <v>297</v>
      </c>
      <c r="D326" s="211">
        <v>192048297</v>
      </c>
      <c r="E326" s="211">
        <v>1080</v>
      </c>
      <c r="F326" s="211">
        <v>1242</v>
      </c>
      <c r="G326" s="211">
        <v>1004</v>
      </c>
      <c r="I326" s="211" t="s">
        <v>3283</v>
      </c>
      <c r="J326" s="212" t="s">
        <v>638</v>
      </c>
      <c r="K326" s="211" t="s">
        <v>639</v>
      </c>
      <c r="L326" s="211" t="s">
        <v>3352</v>
      </c>
      <c r="AD326" s="213"/>
    </row>
    <row r="327" spans="1:30" s="211" customFormat="1" x14ac:dyDescent="0.25">
      <c r="A327" s="211" t="s">
        <v>117</v>
      </c>
      <c r="B327" s="211">
        <v>551</v>
      </c>
      <c r="C327" s="211" t="s">
        <v>298</v>
      </c>
      <c r="D327" s="211">
        <v>191927261</v>
      </c>
      <c r="E327" s="211">
        <v>1080</v>
      </c>
      <c r="F327" s="211">
        <v>1274</v>
      </c>
      <c r="G327" s="211">
        <v>1004</v>
      </c>
      <c r="I327" s="211" t="s">
        <v>2581</v>
      </c>
      <c r="J327" s="212" t="s">
        <v>638</v>
      </c>
      <c r="K327" s="211" t="s">
        <v>524</v>
      </c>
      <c r="L327" s="211" t="s">
        <v>2913</v>
      </c>
      <c r="AD327" s="213"/>
    </row>
    <row r="328" spans="1:30" s="211" customFormat="1" x14ac:dyDescent="0.25">
      <c r="A328" s="211" t="s">
        <v>117</v>
      </c>
      <c r="B328" s="211">
        <v>551</v>
      </c>
      <c r="C328" s="211" t="s">
        <v>298</v>
      </c>
      <c r="D328" s="211">
        <v>192033036</v>
      </c>
      <c r="E328" s="211">
        <v>1060</v>
      </c>
      <c r="F328" s="211">
        <v>1274</v>
      </c>
      <c r="G328" s="211">
        <v>1004</v>
      </c>
      <c r="I328" s="211" t="s">
        <v>2549</v>
      </c>
      <c r="J328" s="212" t="s">
        <v>638</v>
      </c>
      <c r="K328" s="211" t="s">
        <v>524</v>
      </c>
      <c r="L328" s="211" t="s">
        <v>2564</v>
      </c>
      <c r="AD328" s="213"/>
    </row>
    <row r="329" spans="1:30" s="211" customFormat="1" x14ac:dyDescent="0.25">
      <c r="A329" s="211" t="s">
        <v>117</v>
      </c>
      <c r="B329" s="211">
        <v>551</v>
      </c>
      <c r="C329" s="211" t="s">
        <v>298</v>
      </c>
      <c r="D329" s="211">
        <v>192051029</v>
      </c>
      <c r="E329" s="211">
        <v>1080</v>
      </c>
      <c r="F329" s="211">
        <v>1242</v>
      </c>
      <c r="G329" s="211">
        <v>1003</v>
      </c>
      <c r="I329" s="211" t="s">
        <v>3614</v>
      </c>
      <c r="J329" s="212" t="s">
        <v>638</v>
      </c>
      <c r="K329" s="211" t="s">
        <v>524</v>
      </c>
      <c r="L329" s="211" t="s">
        <v>3693</v>
      </c>
      <c r="AD329" s="213"/>
    </row>
    <row r="330" spans="1:30" s="211" customFormat="1" x14ac:dyDescent="0.25">
      <c r="A330" s="211" t="s">
        <v>117</v>
      </c>
      <c r="B330" s="211">
        <v>551</v>
      </c>
      <c r="C330" s="211" t="s">
        <v>298</v>
      </c>
      <c r="D330" s="211">
        <v>192051602</v>
      </c>
      <c r="E330" s="211">
        <v>1060</v>
      </c>
      <c r="F330" s="211">
        <v>1271</v>
      </c>
      <c r="G330" s="211">
        <v>1004</v>
      </c>
      <c r="I330" s="211" t="s">
        <v>3615</v>
      </c>
      <c r="J330" s="212" t="s">
        <v>638</v>
      </c>
      <c r="K330" s="211" t="s">
        <v>524</v>
      </c>
      <c r="L330" s="211" t="s">
        <v>3694</v>
      </c>
      <c r="AD330" s="213"/>
    </row>
    <row r="331" spans="1:30" s="211" customFormat="1" x14ac:dyDescent="0.25">
      <c r="A331" s="211" t="s">
        <v>117</v>
      </c>
      <c r="B331" s="211">
        <v>551</v>
      </c>
      <c r="C331" s="211" t="s">
        <v>298</v>
      </c>
      <c r="D331" s="211">
        <v>192052170</v>
      </c>
      <c r="E331" s="211">
        <v>1080</v>
      </c>
      <c r="F331" s="211">
        <v>1242</v>
      </c>
      <c r="G331" s="211">
        <v>1003</v>
      </c>
      <c r="I331" s="211" t="s">
        <v>3773</v>
      </c>
      <c r="J331" s="212" t="s">
        <v>638</v>
      </c>
      <c r="K331" s="211" t="s">
        <v>524</v>
      </c>
      <c r="L331" s="211" t="s">
        <v>3819</v>
      </c>
      <c r="AD331" s="213"/>
    </row>
    <row r="332" spans="1:30" s="211" customFormat="1" x14ac:dyDescent="0.25">
      <c r="A332" s="211" t="s">
        <v>117</v>
      </c>
      <c r="B332" s="211">
        <v>552</v>
      </c>
      <c r="C332" s="211" t="s">
        <v>299</v>
      </c>
      <c r="D332" s="211">
        <v>191789513</v>
      </c>
      <c r="E332" s="211">
        <v>1060</v>
      </c>
      <c r="F332" s="211">
        <v>1274</v>
      </c>
      <c r="G332" s="211">
        <v>1004</v>
      </c>
      <c r="I332" s="211" t="s">
        <v>3374</v>
      </c>
      <c r="J332" s="212" t="s">
        <v>638</v>
      </c>
      <c r="K332" s="211" t="s">
        <v>524</v>
      </c>
      <c r="L332" s="211" t="s">
        <v>3414</v>
      </c>
      <c r="AD332" s="213"/>
    </row>
    <row r="333" spans="1:30" s="211" customFormat="1" x14ac:dyDescent="0.25">
      <c r="A333" s="211" t="s">
        <v>117</v>
      </c>
      <c r="B333" s="211">
        <v>554</v>
      </c>
      <c r="C333" s="211" t="s">
        <v>301</v>
      </c>
      <c r="D333" s="211">
        <v>1334349</v>
      </c>
      <c r="E333" s="211">
        <v>1060</v>
      </c>
      <c r="F333" s="211">
        <v>1251</v>
      </c>
      <c r="G333" s="211">
        <v>1004</v>
      </c>
      <c r="I333" s="211" t="s">
        <v>1321</v>
      </c>
      <c r="J333" s="212" t="s">
        <v>638</v>
      </c>
      <c r="K333" s="211" t="s">
        <v>639</v>
      </c>
      <c r="L333" s="211" t="s">
        <v>2253</v>
      </c>
      <c r="AD333" s="213"/>
    </row>
    <row r="334" spans="1:30" s="211" customFormat="1" x14ac:dyDescent="0.25">
      <c r="A334" s="211" t="s">
        <v>117</v>
      </c>
      <c r="B334" s="211">
        <v>562</v>
      </c>
      <c r="C334" s="211" t="s">
        <v>305</v>
      </c>
      <c r="D334" s="211">
        <v>191973708</v>
      </c>
      <c r="E334" s="211">
        <v>1060</v>
      </c>
      <c r="F334" s="211">
        <v>1274</v>
      </c>
      <c r="G334" s="211">
        <v>1004</v>
      </c>
      <c r="I334" s="211" t="s">
        <v>648</v>
      </c>
      <c r="J334" s="212" t="s">
        <v>638</v>
      </c>
      <c r="K334" s="211" t="s">
        <v>524</v>
      </c>
      <c r="L334" s="211" t="s">
        <v>841</v>
      </c>
      <c r="AD334" s="213"/>
    </row>
    <row r="335" spans="1:30" s="211" customFormat="1" x14ac:dyDescent="0.25">
      <c r="A335" s="211" t="s">
        <v>117</v>
      </c>
      <c r="B335" s="211">
        <v>563</v>
      </c>
      <c r="C335" s="211" t="s">
        <v>306</v>
      </c>
      <c r="D335" s="211">
        <v>1336957</v>
      </c>
      <c r="E335" s="211">
        <v>1060</v>
      </c>
      <c r="F335" s="211">
        <v>1271</v>
      </c>
      <c r="G335" s="211">
        <v>1004</v>
      </c>
      <c r="I335" s="211" t="s">
        <v>649</v>
      </c>
      <c r="J335" s="212" t="s">
        <v>638</v>
      </c>
      <c r="K335" s="211" t="s">
        <v>524</v>
      </c>
      <c r="L335" s="211" t="s">
        <v>842</v>
      </c>
      <c r="AD335" s="213"/>
    </row>
    <row r="336" spans="1:30" s="211" customFormat="1" x14ac:dyDescent="0.25">
      <c r="A336" s="211" t="s">
        <v>117</v>
      </c>
      <c r="B336" s="211">
        <v>563</v>
      </c>
      <c r="C336" s="211" t="s">
        <v>306</v>
      </c>
      <c r="D336" s="211">
        <v>3042900</v>
      </c>
      <c r="E336" s="211">
        <v>1020</v>
      </c>
      <c r="F336" s="211">
        <v>1110</v>
      </c>
      <c r="G336" s="211">
        <v>1004</v>
      </c>
      <c r="I336" s="211" t="s">
        <v>650</v>
      </c>
      <c r="J336" s="212" t="s">
        <v>638</v>
      </c>
      <c r="K336" s="211" t="s">
        <v>639</v>
      </c>
      <c r="L336" s="211" t="s">
        <v>914</v>
      </c>
      <c r="AD336" s="213"/>
    </row>
    <row r="337" spans="1:30" s="211" customFormat="1" x14ac:dyDescent="0.25">
      <c r="A337" s="211" t="s">
        <v>117</v>
      </c>
      <c r="B337" s="211">
        <v>563</v>
      </c>
      <c r="C337" s="211" t="s">
        <v>306</v>
      </c>
      <c r="D337" s="211">
        <v>190200320</v>
      </c>
      <c r="E337" s="211">
        <v>1020</v>
      </c>
      <c r="F337" s="211">
        <v>1110</v>
      </c>
      <c r="G337" s="211">
        <v>1004</v>
      </c>
      <c r="I337" s="211" t="s">
        <v>651</v>
      </c>
      <c r="J337" s="212" t="s">
        <v>638</v>
      </c>
      <c r="K337" s="211" t="s">
        <v>639</v>
      </c>
      <c r="L337" s="211" t="s">
        <v>914</v>
      </c>
      <c r="AD337" s="213"/>
    </row>
    <row r="338" spans="1:30" s="211" customFormat="1" x14ac:dyDescent="0.25">
      <c r="A338" s="211" t="s">
        <v>117</v>
      </c>
      <c r="B338" s="211">
        <v>563</v>
      </c>
      <c r="C338" s="211" t="s">
        <v>306</v>
      </c>
      <c r="D338" s="211">
        <v>190200322</v>
      </c>
      <c r="E338" s="211">
        <v>1020</v>
      </c>
      <c r="F338" s="211">
        <v>1110</v>
      </c>
      <c r="G338" s="211">
        <v>1004</v>
      </c>
      <c r="I338" s="211" t="s">
        <v>651</v>
      </c>
      <c r="J338" s="212" t="s">
        <v>638</v>
      </c>
      <c r="K338" s="211" t="s">
        <v>639</v>
      </c>
      <c r="L338" s="211" t="s">
        <v>914</v>
      </c>
      <c r="AD338" s="213"/>
    </row>
    <row r="339" spans="1:30" s="211" customFormat="1" x14ac:dyDescent="0.25">
      <c r="A339" s="211" t="s">
        <v>117</v>
      </c>
      <c r="B339" s="211">
        <v>563</v>
      </c>
      <c r="C339" s="211" t="s">
        <v>306</v>
      </c>
      <c r="D339" s="211">
        <v>190602331</v>
      </c>
      <c r="E339" s="211">
        <v>1060</v>
      </c>
      <c r="F339" s="211">
        <v>1242</v>
      </c>
      <c r="G339" s="211">
        <v>1004</v>
      </c>
      <c r="I339" s="211" t="s">
        <v>652</v>
      </c>
      <c r="J339" s="212" t="s">
        <v>638</v>
      </c>
      <c r="K339" s="211" t="s">
        <v>524</v>
      </c>
      <c r="L339" s="211" t="s">
        <v>843</v>
      </c>
      <c r="AD339" s="213"/>
    </row>
    <row r="340" spans="1:30" s="211" customFormat="1" x14ac:dyDescent="0.25">
      <c r="A340" s="211" t="s">
        <v>117</v>
      </c>
      <c r="B340" s="211">
        <v>563</v>
      </c>
      <c r="C340" s="211" t="s">
        <v>306</v>
      </c>
      <c r="D340" s="211">
        <v>190607510</v>
      </c>
      <c r="E340" s="211">
        <v>1060</v>
      </c>
      <c r="F340" s="211">
        <v>1242</v>
      </c>
      <c r="G340" s="211">
        <v>1004</v>
      </c>
      <c r="I340" s="211" t="s">
        <v>653</v>
      </c>
      <c r="J340" s="212" t="s">
        <v>638</v>
      </c>
      <c r="K340" s="211" t="s">
        <v>524</v>
      </c>
      <c r="L340" s="211" t="s">
        <v>844</v>
      </c>
      <c r="AD340" s="213"/>
    </row>
    <row r="341" spans="1:30" s="211" customFormat="1" x14ac:dyDescent="0.25">
      <c r="A341" s="211" t="s">
        <v>117</v>
      </c>
      <c r="B341" s="211">
        <v>563</v>
      </c>
      <c r="C341" s="211" t="s">
        <v>306</v>
      </c>
      <c r="D341" s="211">
        <v>190610109</v>
      </c>
      <c r="E341" s="211">
        <v>1080</v>
      </c>
      <c r="F341" s="211">
        <v>1274</v>
      </c>
      <c r="G341" s="211">
        <v>1004</v>
      </c>
      <c r="I341" s="211" t="s">
        <v>654</v>
      </c>
      <c r="J341" s="212" t="s">
        <v>638</v>
      </c>
      <c r="K341" s="211" t="s">
        <v>639</v>
      </c>
      <c r="L341" s="211" t="s">
        <v>915</v>
      </c>
      <c r="AD341" s="213"/>
    </row>
    <row r="342" spans="1:30" s="211" customFormat="1" x14ac:dyDescent="0.25">
      <c r="A342" s="211" t="s">
        <v>117</v>
      </c>
      <c r="B342" s="211">
        <v>563</v>
      </c>
      <c r="C342" s="211" t="s">
        <v>306</v>
      </c>
      <c r="D342" s="211">
        <v>190753369</v>
      </c>
      <c r="E342" s="211">
        <v>1060</v>
      </c>
      <c r="F342" s="211">
        <v>1274</v>
      </c>
      <c r="G342" s="211">
        <v>1004</v>
      </c>
      <c r="I342" s="211" t="s">
        <v>655</v>
      </c>
      <c r="J342" s="212" t="s">
        <v>638</v>
      </c>
      <c r="K342" s="211" t="s">
        <v>524</v>
      </c>
      <c r="L342" s="211" t="s">
        <v>845</v>
      </c>
      <c r="AD342" s="213"/>
    </row>
    <row r="343" spans="1:30" s="211" customFormat="1" x14ac:dyDescent="0.25">
      <c r="A343" s="211" t="s">
        <v>117</v>
      </c>
      <c r="B343" s="211">
        <v>563</v>
      </c>
      <c r="C343" s="211" t="s">
        <v>306</v>
      </c>
      <c r="D343" s="211">
        <v>190916571</v>
      </c>
      <c r="E343" s="211">
        <v>1060</v>
      </c>
      <c r="F343" s="211">
        <v>1242</v>
      </c>
      <c r="G343" s="211">
        <v>1004</v>
      </c>
      <c r="I343" s="211" t="s">
        <v>656</v>
      </c>
      <c r="J343" s="212" t="s">
        <v>638</v>
      </c>
      <c r="K343" s="211" t="s">
        <v>524</v>
      </c>
      <c r="L343" s="211" t="s">
        <v>846</v>
      </c>
      <c r="AD343" s="213"/>
    </row>
    <row r="344" spans="1:30" s="211" customFormat="1" x14ac:dyDescent="0.25">
      <c r="A344" s="211" t="s">
        <v>117</v>
      </c>
      <c r="B344" s="211">
        <v>563</v>
      </c>
      <c r="C344" s="211" t="s">
        <v>306</v>
      </c>
      <c r="D344" s="211">
        <v>191041017</v>
      </c>
      <c r="E344" s="211">
        <v>1060</v>
      </c>
      <c r="F344" s="211">
        <v>1242</v>
      </c>
      <c r="G344" s="211">
        <v>1004</v>
      </c>
      <c r="I344" s="211" t="s">
        <v>657</v>
      </c>
      <c r="J344" s="212" t="s">
        <v>638</v>
      </c>
      <c r="K344" s="211" t="s">
        <v>524</v>
      </c>
      <c r="L344" s="211" t="s">
        <v>847</v>
      </c>
      <c r="AD344" s="213"/>
    </row>
    <row r="345" spans="1:30" s="211" customFormat="1" x14ac:dyDescent="0.25">
      <c r="A345" s="211" t="s">
        <v>117</v>
      </c>
      <c r="B345" s="211">
        <v>563</v>
      </c>
      <c r="C345" s="211" t="s">
        <v>306</v>
      </c>
      <c r="D345" s="211">
        <v>191101951</v>
      </c>
      <c r="E345" s="211">
        <v>1040</v>
      </c>
      <c r="F345" s="211">
        <v>1251</v>
      </c>
      <c r="G345" s="211">
        <v>1003</v>
      </c>
      <c r="I345" s="211" t="s">
        <v>2891</v>
      </c>
      <c r="J345" s="212" t="s">
        <v>638</v>
      </c>
      <c r="K345" s="211" t="s">
        <v>639</v>
      </c>
      <c r="L345" s="211" t="s">
        <v>2922</v>
      </c>
      <c r="AD345" s="213"/>
    </row>
    <row r="346" spans="1:30" s="211" customFormat="1" x14ac:dyDescent="0.25">
      <c r="A346" s="211" t="s">
        <v>117</v>
      </c>
      <c r="B346" s="211">
        <v>563</v>
      </c>
      <c r="C346" s="211" t="s">
        <v>306</v>
      </c>
      <c r="D346" s="211">
        <v>191135651</v>
      </c>
      <c r="E346" s="211">
        <v>1060</v>
      </c>
      <c r="F346" s="211">
        <v>1251</v>
      </c>
      <c r="G346" s="211">
        <v>1004</v>
      </c>
      <c r="I346" s="211" t="s">
        <v>658</v>
      </c>
      <c r="J346" s="212" t="s">
        <v>638</v>
      </c>
      <c r="K346" s="211" t="s">
        <v>524</v>
      </c>
      <c r="L346" s="211" t="s">
        <v>848</v>
      </c>
      <c r="AD346" s="213"/>
    </row>
    <row r="347" spans="1:30" s="211" customFormat="1" x14ac:dyDescent="0.25">
      <c r="A347" s="211" t="s">
        <v>117</v>
      </c>
      <c r="B347" s="211">
        <v>563</v>
      </c>
      <c r="C347" s="211" t="s">
        <v>306</v>
      </c>
      <c r="D347" s="211">
        <v>191163790</v>
      </c>
      <c r="E347" s="211">
        <v>1060</v>
      </c>
      <c r="F347" s="211">
        <v>1242</v>
      </c>
      <c r="G347" s="211">
        <v>1004</v>
      </c>
      <c r="I347" s="211" t="s">
        <v>659</v>
      </c>
      <c r="J347" s="212" t="s">
        <v>638</v>
      </c>
      <c r="K347" s="211" t="s">
        <v>524</v>
      </c>
      <c r="L347" s="211" t="s">
        <v>849</v>
      </c>
      <c r="AD347" s="213"/>
    </row>
    <row r="348" spans="1:30" s="211" customFormat="1" x14ac:dyDescent="0.25">
      <c r="A348" s="211" t="s">
        <v>117</v>
      </c>
      <c r="B348" s="211">
        <v>563</v>
      </c>
      <c r="C348" s="211" t="s">
        <v>306</v>
      </c>
      <c r="D348" s="211">
        <v>191324992</v>
      </c>
      <c r="E348" s="211">
        <v>1060</v>
      </c>
      <c r="F348" s="211">
        <v>1274</v>
      </c>
      <c r="G348" s="211">
        <v>1004</v>
      </c>
      <c r="I348" s="211" t="s">
        <v>660</v>
      </c>
      <c r="J348" s="212" t="s">
        <v>638</v>
      </c>
      <c r="K348" s="211" t="s">
        <v>639</v>
      </c>
      <c r="L348" s="211" t="s">
        <v>916</v>
      </c>
      <c r="AD348" s="213"/>
    </row>
    <row r="349" spans="1:30" s="211" customFormat="1" x14ac:dyDescent="0.25">
      <c r="A349" s="211" t="s">
        <v>117</v>
      </c>
      <c r="B349" s="211">
        <v>563</v>
      </c>
      <c r="C349" s="211" t="s">
        <v>306</v>
      </c>
      <c r="D349" s="211">
        <v>191325150</v>
      </c>
      <c r="E349" s="211">
        <v>1030</v>
      </c>
      <c r="F349" s="211">
        <v>1110</v>
      </c>
      <c r="G349" s="211">
        <v>1003</v>
      </c>
      <c r="I349" s="211" t="s">
        <v>661</v>
      </c>
      <c r="J349" s="212" t="s">
        <v>638</v>
      </c>
      <c r="K349" s="211" t="s">
        <v>639</v>
      </c>
      <c r="L349" s="211" t="s">
        <v>917</v>
      </c>
      <c r="AD349" s="213"/>
    </row>
    <row r="350" spans="1:30" s="211" customFormat="1" x14ac:dyDescent="0.25">
      <c r="A350" s="211" t="s">
        <v>117</v>
      </c>
      <c r="B350" s="211">
        <v>563</v>
      </c>
      <c r="C350" s="211" t="s">
        <v>306</v>
      </c>
      <c r="D350" s="211">
        <v>191473216</v>
      </c>
      <c r="E350" s="211">
        <v>1040</v>
      </c>
      <c r="F350" s="211">
        <v>1271</v>
      </c>
      <c r="G350" s="211">
        <v>1004</v>
      </c>
      <c r="I350" s="211" t="s">
        <v>662</v>
      </c>
      <c r="J350" s="212" t="s">
        <v>638</v>
      </c>
      <c r="K350" s="211" t="s">
        <v>524</v>
      </c>
      <c r="L350" s="211" t="s">
        <v>850</v>
      </c>
      <c r="AD350" s="213"/>
    </row>
    <row r="351" spans="1:30" s="211" customFormat="1" x14ac:dyDescent="0.25">
      <c r="A351" s="211" t="s">
        <v>117</v>
      </c>
      <c r="B351" s="211">
        <v>563</v>
      </c>
      <c r="C351" s="211" t="s">
        <v>306</v>
      </c>
      <c r="D351" s="211">
        <v>191479115</v>
      </c>
      <c r="E351" s="211">
        <v>1060</v>
      </c>
      <c r="F351" s="211">
        <v>1242</v>
      </c>
      <c r="G351" s="211">
        <v>1003</v>
      </c>
      <c r="I351" s="211" t="s">
        <v>663</v>
      </c>
      <c r="J351" s="212" t="s">
        <v>638</v>
      </c>
      <c r="K351" s="211" t="s">
        <v>639</v>
      </c>
      <c r="L351" s="211" t="s">
        <v>918</v>
      </c>
      <c r="AD351" s="213"/>
    </row>
    <row r="352" spans="1:30" s="211" customFormat="1" x14ac:dyDescent="0.25">
      <c r="A352" s="211" t="s">
        <v>117</v>
      </c>
      <c r="B352" s="211">
        <v>563</v>
      </c>
      <c r="C352" s="211" t="s">
        <v>306</v>
      </c>
      <c r="D352" s="211">
        <v>191510496</v>
      </c>
      <c r="E352" s="211">
        <v>1060</v>
      </c>
      <c r="F352" s="211">
        <v>1242</v>
      </c>
      <c r="G352" s="211">
        <v>1004</v>
      </c>
      <c r="I352" s="211" t="s">
        <v>664</v>
      </c>
      <c r="J352" s="212" t="s">
        <v>638</v>
      </c>
      <c r="K352" s="211" t="s">
        <v>524</v>
      </c>
      <c r="L352" s="211" t="s">
        <v>851</v>
      </c>
      <c r="AD352" s="213"/>
    </row>
    <row r="353" spans="1:30" s="211" customFormat="1" x14ac:dyDescent="0.25">
      <c r="A353" s="211" t="s">
        <v>117</v>
      </c>
      <c r="B353" s="211">
        <v>563</v>
      </c>
      <c r="C353" s="211" t="s">
        <v>306</v>
      </c>
      <c r="D353" s="211">
        <v>191564131</v>
      </c>
      <c r="E353" s="211">
        <v>1060</v>
      </c>
      <c r="F353" s="211">
        <v>1274</v>
      </c>
      <c r="G353" s="211">
        <v>1004</v>
      </c>
      <c r="I353" s="211" t="s">
        <v>665</v>
      </c>
      <c r="J353" s="212" t="s">
        <v>638</v>
      </c>
      <c r="K353" s="211" t="s">
        <v>524</v>
      </c>
      <c r="L353" s="211" t="s">
        <v>852</v>
      </c>
      <c r="AD353" s="213"/>
    </row>
    <row r="354" spans="1:30" s="211" customFormat="1" x14ac:dyDescent="0.25">
      <c r="A354" s="211" t="s">
        <v>117</v>
      </c>
      <c r="B354" s="211">
        <v>563</v>
      </c>
      <c r="C354" s="211" t="s">
        <v>306</v>
      </c>
      <c r="D354" s="211">
        <v>191635598</v>
      </c>
      <c r="E354" s="211">
        <v>1060</v>
      </c>
      <c r="G354" s="211">
        <v>1004</v>
      </c>
      <c r="I354" s="211" t="s">
        <v>666</v>
      </c>
      <c r="J354" s="212" t="s">
        <v>638</v>
      </c>
      <c r="K354" s="211" t="s">
        <v>524</v>
      </c>
      <c r="L354" s="211" t="s">
        <v>853</v>
      </c>
      <c r="AD354" s="213"/>
    </row>
    <row r="355" spans="1:30" s="211" customFormat="1" x14ac:dyDescent="0.25">
      <c r="A355" s="211" t="s">
        <v>117</v>
      </c>
      <c r="B355" s="211">
        <v>563</v>
      </c>
      <c r="C355" s="211" t="s">
        <v>306</v>
      </c>
      <c r="D355" s="211">
        <v>191649436</v>
      </c>
      <c r="E355" s="211">
        <v>1060</v>
      </c>
      <c r="F355" s="211">
        <v>1242</v>
      </c>
      <c r="G355" s="211">
        <v>1004</v>
      </c>
      <c r="I355" s="211" t="s">
        <v>667</v>
      </c>
      <c r="J355" s="212" t="s">
        <v>638</v>
      </c>
      <c r="K355" s="211" t="s">
        <v>524</v>
      </c>
      <c r="L355" s="211" t="s">
        <v>854</v>
      </c>
      <c r="AD355" s="213"/>
    </row>
    <row r="356" spans="1:30" s="211" customFormat="1" x14ac:dyDescent="0.25">
      <c r="A356" s="211" t="s">
        <v>117</v>
      </c>
      <c r="B356" s="211">
        <v>563</v>
      </c>
      <c r="C356" s="211" t="s">
        <v>306</v>
      </c>
      <c r="D356" s="211">
        <v>191745955</v>
      </c>
      <c r="E356" s="211">
        <v>1060</v>
      </c>
      <c r="F356" s="211">
        <v>1274</v>
      </c>
      <c r="G356" s="211">
        <v>1004</v>
      </c>
      <c r="I356" s="211" t="s">
        <v>668</v>
      </c>
      <c r="J356" s="212" t="s">
        <v>638</v>
      </c>
      <c r="K356" s="211" t="s">
        <v>524</v>
      </c>
      <c r="L356" s="211" t="s">
        <v>855</v>
      </c>
      <c r="AD356" s="213"/>
    </row>
    <row r="357" spans="1:30" s="211" customFormat="1" x14ac:dyDescent="0.25">
      <c r="A357" s="211" t="s">
        <v>117</v>
      </c>
      <c r="B357" s="211">
        <v>563</v>
      </c>
      <c r="C357" s="211" t="s">
        <v>306</v>
      </c>
      <c r="D357" s="211">
        <v>191766377</v>
      </c>
      <c r="E357" s="211">
        <v>1060</v>
      </c>
      <c r="F357" s="211">
        <v>1274</v>
      </c>
      <c r="G357" s="211">
        <v>1004</v>
      </c>
      <c r="I357" s="211" t="s">
        <v>669</v>
      </c>
      <c r="J357" s="212" t="s">
        <v>638</v>
      </c>
      <c r="K357" s="211" t="s">
        <v>639</v>
      </c>
      <c r="L357" s="211" t="s">
        <v>919</v>
      </c>
      <c r="AD357" s="213"/>
    </row>
    <row r="358" spans="1:30" s="211" customFormat="1" x14ac:dyDescent="0.25">
      <c r="A358" s="211" t="s">
        <v>117</v>
      </c>
      <c r="B358" s="211">
        <v>563</v>
      </c>
      <c r="C358" s="211" t="s">
        <v>306</v>
      </c>
      <c r="D358" s="211">
        <v>191864406</v>
      </c>
      <c r="E358" s="211">
        <v>1060</v>
      </c>
      <c r="F358" s="211">
        <v>1274</v>
      </c>
      <c r="G358" s="211">
        <v>1004</v>
      </c>
      <c r="I358" s="211" t="s">
        <v>670</v>
      </c>
      <c r="J358" s="212" t="s">
        <v>638</v>
      </c>
      <c r="K358" s="211" t="s">
        <v>524</v>
      </c>
      <c r="L358" s="211" t="s">
        <v>856</v>
      </c>
      <c r="AD358" s="213"/>
    </row>
    <row r="359" spans="1:30" s="211" customFormat="1" x14ac:dyDescent="0.25">
      <c r="A359" s="211" t="s">
        <v>117</v>
      </c>
      <c r="B359" s="211">
        <v>563</v>
      </c>
      <c r="C359" s="211" t="s">
        <v>306</v>
      </c>
      <c r="D359" s="211">
        <v>191884355</v>
      </c>
      <c r="E359" s="211">
        <v>1060</v>
      </c>
      <c r="F359" s="211">
        <v>1271</v>
      </c>
      <c r="G359" s="211">
        <v>1004</v>
      </c>
      <c r="I359" s="211" t="s">
        <v>671</v>
      </c>
      <c r="J359" s="212" t="s">
        <v>638</v>
      </c>
      <c r="K359" s="211" t="s">
        <v>524</v>
      </c>
      <c r="L359" s="211" t="s">
        <v>857</v>
      </c>
      <c r="AD359" s="213"/>
    </row>
    <row r="360" spans="1:30" s="211" customFormat="1" x14ac:dyDescent="0.25">
      <c r="A360" s="211" t="s">
        <v>117</v>
      </c>
      <c r="B360" s="211">
        <v>563</v>
      </c>
      <c r="C360" s="211" t="s">
        <v>306</v>
      </c>
      <c r="D360" s="211">
        <v>191961512</v>
      </c>
      <c r="E360" s="211">
        <v>1080</v>
      </c>
      <c r="F360" s="211">
        <v>1252</v>
      </c>
      <c r="G360" s="211">
        <v>1004</v>
      </c>
      <c r="I360" s="211" t="s">
        <v>672</v>
      </c>
      <c r="J360" s="212" t="s">
        <v>638</v>
      </c>
      <c r="K360" s="211" t="s">
        <v>639</v>
      </c>
      <c r="L360" s="211" t="s">
        <v>920</v>
      </c>
      <c r="AD360" s="213"/>
    </row>
    <row r="361" spans="1:30" s="211" customFormat="1" x14ac:dyDescent="0.25">
      <c r="A361" s="211" t="s">
        <v>117</v>
      </c>
      <c r="B361" s="211">
        <v>563</v>
      </c>
      <c r="C361" s="211" t="s">
        <v>306</v>
      </c>
      <c r="D361" s="211">
        <v>191968623</v>
      </c>
      <c r="E361" s="211">
        <v>1060</v>
      </c>
      <c r="F361" s="211">
        <v>1242</v>
      </c>
      <c r="G361" s="211">
        <v>1004</v>
      </c>
      <c r="I361" s="211" t="s">
        <v>2848</v>
      </c>
      <c r="J361" s="212" t="s">
        <v>638</v>
      </c>
      <c r="K361" s="211" t="s">
        <v>639</v>
      </c>
      <c r="L361" s="211" t="s">
        <v>2883</v>
      </c>
      <c r="AD361" s="213"/>
    </row>
    <row r="362" spans="1:30" s="211" customFormat="1" x14ac:dyDescent="0.25">
      <c r="A362" s="211" t="s">
        <v>117</v>
      </c>
      <c r="B362" s="211">
        <v>563</v>
      </c>
      <c r="C362" s="211" t="s">
        <v>306</v>
      </c>
      <c r="D362" s="211">
        <v>191970229</v>
      </c>
      <c r="E362" s="211">
        <v>1060</v>
      </c>
      <c r="F362" s="211">
        <v>1252</v>
      </c>
      <c r="G362" s="211">
        <v>1004</v>
      </c>
      <c r="I362" s="211" t="s">
        <v>673</v>
      </c>
      <c r="J362" s="212" t="s">
        <v>638</v>
      </c>
      <c r="K362" s="211" t="s">
        <v>524</v>
      </c>
      <c r="L362" s="211" t="s">
        <v>858</v>
      </c>
      <c r="AD362" s="213"/>
    </row>
    <row r="363" spans="1:30" s="211" customFormat="1" x14ac:dyDescent="0.25">
      <c r="A363" s="211" t="s">
        <v>117</v>
      </c>
      <c r="B363" s="211">
        <v>563</v>
      </c>
      <c r="C363" s="211" t="s">
        <v>306</v>
      </c>
      <c r="D363" s="211">
        <v>192013768</v>
      </c>
      <c r="E363" s="211">
        <v>1060</v>
      </c>
      <c r="F363" s="211">
        <v>1252</v>
      </c>
      <c r="G363" s="211">
        <v>1004</v>
      </c>
      <c r="I363" s="211" t="s">
        <v>1716</v>
      </c>
      <c r="J363" s="212" t="s">
        <v>638</v>
      </c>
      <c r="K363" s="211" t="s">
        <v>524</v>
      </c>
      <c r="L363" s="211" t="s">
        <v>1743</v>
      </c>
      <c r="AD363" s="213"/>
    </row>
    <row r="364" spans="1:30" s="211" customFormat="1" x14ac:dyDescent="0.25">
      <c r="A364" s="211" t="s">
        <v>117</v>
      </c>
      <c r="B364" s="211">
        <v>563</v>
      </c>
      <c r="C364" s="211" t="s">
        <v>306</v>
      </c>
      <c r="D364" s="211">
        <v>192013772</v>
      </c>
      <c r="E364" s="211">
        <v>1060</v>
      </c>
      <c r="F364" s="211">
        <v>1252</v>
      </c>
      <c r="G364" s="211">
        <v>1004</v>
      </c>
      <c r="I364" s="211" t="s">
        <v>1717</v>
      </c>
      <c r="J364" s="212" t="s">
        <v>638</v>
      </c>
      <c r="K364" s="211" t="s">
        <v>524</v>
      </c>
      <c r="L364" s="211" t="s">
        <v>1744</v>
      </c>
      <c r="AD364" s="213"/>
    </row>
    <row r="365" spans="1:30" s="211" customFormat="1" x14ac:dyDescent="0.25">
      <c r="A365" s="211" t="s">
        <v>117</v>
      </c>
      <c r="B365" s="211">
        <v>563</v>
      </c>
      <c r="C365" s="211" t="s">
        <v>306</v>
      </c>
      <c r="D365" s="211">
        <v>192013774</v>
      </c>
      <c r="E365" s="211">
        <v>1060</v>
      </c>
      <c r="F365" s="211">
        <v>1252</v>
      </c>
      <c r="G365" s="211">
        <v>1004</v>
      </c>
      <c r="I365" s="211" t="s">
        <v>1718</v>
      </c>
      <c r="J365" s="212" t="s">
        <v>638</v>
      </c>
      <c r="K365" s="211" t="s">
        <v>524</v>
      </c>
      <c r="L365" s="211" t="s">
        <v>1745</v>
      </c>
      <c r="AD365" s="213"/>
    </row>
    <row r="366" spans="1:30" s="211" customFormat="1" x14ac:dyDescent="0.25">
      <c r="A366" s="211" t="s">
        <v>117</v>
      </c>
      <c r="B366" s="211">
        <v>563</v>
      </c>
      <c r="C366" s="211" t="s">
        <v>306</v>
      </c>
      <c r="D366" s="211">
        <v>192013778</v>
      </c>
      <c r="E366" s="211">
        <v>1060</v>
      </c>
      <c r="F366" s="211">
        <v>1252</v>
      </c>
      <c r="G366" s="211">
        <v>1004</v>
      </c>
      <c r="I366" s="211" t="s">
        <v>1719</v>
      </c>
      <c r="J366" s="212" t="s">
        <v>638</v>
      </c>
      <c r="K366" s="211" t="s">
        <v>524</v>
      </c>
      <c r="L366" s="211" t="s">
        <v>1746</v>
      </c>
      <c r="AD366" s="213"/>
    </row>
    <row r="367" spans="1:30" s="211" customFormat="1" x14ac:dyDescent="0.25">
      <c r="A367" s="211" t="s">
        <v>117</v>
      </c>
      <c r="B367" s="211">
        <v>563</v>
      </c>
      <c r="C367" s="211" t="s">
        <v>306</v>
      </c>
      <c r="D367" s="211">
        <v>192013780</v>
      </c>
      <c r="E367" s="211">
        <v>1060</v>
      </c>
      <c r="F367" s="211">
        <v>1252</v>
      </c>
      <c r="G367" s="211">
        <v>1004</v>
      </c>
      <c r="I367" s="211" t="s">
        <v>1720</v>
      </c>
      <c r="J367" s="212" t="s">
        <v>638</v>
      </c>
      <c r="K367" s="211" t="s">
        <v>524</v>
      </c>
      <c r="L367" s="211" t="s">
        <v>1747</v>
      </c>
      <c r="AD367" s="213"/>
    </row>
    <row r="368" spans="1:30" s="211" customFormat="1" x14ac:dyDescent="0.25">
      <c r="A368" s="211" t="s">
        <v>117</v>
      </c>
      <c r="B368" s="211">
        <v>563</v>
      </c>
      <c r="C368" s="211" t="s">
        <v>306</v>
      </c>
      <c r="D368" s="211">
        <v>192013783</v>
      </c>
      <c r="E368" s="211">
        <v>1060</v>
      </c>
      <c r="F368" s="211">
        <v>1252</v>
      </c>
      <c r="G368" s="211">
        <v>1004</v>
      </c>
      <c r="I368" s="211" t="s">
        <v>1721</v>
      </c>
      <c r="J368" s="212" t="s">
        <v>638</v>
      </c>
      <c r="K368" s="211" t="s">
        <v>524</v>
      </c>
      <c r="L368" s="211" t="s">
        <v>1748</v>
      </c>
      <c r="AD368" s="213"/>
    </row>
    <row r="369" spans="1:30" s="211" customFormat="1" x14ac:dyDescent="0.25">
      <c r="A369" s="211" t="s">
        <v>117</v>
      </c>
      <c r="B369" s="211">
        <v>563</v>
      </c>
      <c r="C369" s="211" t="s">
        <v>306</v>
      </c>
      <c r="D369" s="211">
        <v>192013787</v>
      </c>
      <c r="E369" s="211">
        <v>1060</v>
      </c>
      <c r="F369" s="211">
        <v>1252</v>
      </c>
      <c r="G369" s="211">
        <v>1004</v>
      </c>
      <c r="I369" s="211" t="s">
        <v>1722</v>
      </c>
      <c r="J369" s="212" t="s">
        <v>638</v>
      </c>
      <c r="K369" s="211" t="s">
        <v>524</v>
      </c>
      <c r="L369" s="211" t="s">
        <v>1749</v>
      </c>
      <c r="AD369" s="213"/>
    </row>
    <row r="370" spans="1:30" s="211" customFormat="1" x14ac:dyDescent="0.25">
      <c r="A370" s="211" t="s">
        <v>117</v>
      </c>
      <c r="B370" s="211">
        <v>563</v>
      </c>
      <c r="C370" s="211" t="s">
        <v>306</v>
      </c>
      <c r="D370" s="211">
        <v>192013791</v>
      </c>
      <c r="E370" s="211">
        <v>1060</v>
      </c>
      <c r="F370" s="211">
        <v>1252</v>
      </c>
      <c r="G370" s="211">
        <v>1004</v>
      </c>
      <c r="I370" s="211" t="s">
        <v>1723</v>
      </c>
      <c r="J370" s="212" t="s">
        <v>638</v>
      </c>
      <c r="K370" s="211" t="s">
        <v>524</v>
      </c>
      <c r="L370" s="211" t="s">
        <v>1750</v>
      </c>
      <c r="AD370" s="213"/>
    </row>
    <row r="371" spans="1:30" s="211" customFormat="1" x14ac:dyDescent="0.25">
      <c r="A371" s="211" t="s">
        <v>117</v>
      </c>
      <c r="B371" s="211">
        <v>563</v>
      </c>
      <c r="C371" s="211" t="s">
        <v>306</v>
      </c>
      <c r="D371" s="211">
        <v>192013794</v>
      </c>
      <c r="E371" s="211">
        <v>1060</v>
      </c>
      <c r="F371" s="211">
        <v>1252</v>
      </c>
      <c r="G371" s="211">
        <v>1004</v>
      </c>
      <c r="I371" s="211" t="s">
        <v>1724</v>
      </c>
      <c r="J371" s="212" t="s">
        <v>638</v>
      </c>
      <c r="K371" s="211" t="s">
        <v>524</v>
      </c>
      <c r="L371" s="211" t="s">
        <v>1751</v>
      </c>
      <c r="AD371" s="213"/>
    </row>
    <row r="372" spans="1:30" s="211" customFormat="1" x14ac:dyDescent="0.25">
      <c r="A372" s="211" t="s">
        <v>117</v>
      </c>
      <c r="B372" s="211">
        <v>563</v>
      </c>
      <c r="C372" s="211" t="s">
        <v>306</v>
      </c>
      <c r="D372" s="211">
        <v>192013795</v>
      </c>
      <c r="E372" s="211">
        <v>1060</v>
      </c>
      <c r="F372" s="211">
        <v>1252</v>
      </c>
      <c r="G372" s="211">
        <v>1004</v>
      </c>
      <c r="I372" s="211" t="s">
        <v>1725</v>
      </c>
      <c r="J372" s="212" t="s">
        <v>638</v>
      </c>
      <c r="K372" s="211" t="s">
        <v>524</v>
      </c>
      <c r="L372" s="211" t="s">
        <v>1752</v>
      </c>
      <c r="AD372" s="213"/>
    </row>
    <row r="373" spans="1:30" s="211" customFormat="1" x14ac:dyDescent="0.25">
      <c r="A373" s="211" t="s">
        <v>117</v>
      </c>
      <c r="B373" s="211">
        <v>563</v>
      </c>
      <c r="C373" s="211" t="s">
        <v>306</v>
      </c>
      <c r="D373" s="211">
        <v>192013796</v>
      </c>
      <c r="E373" s="211">
        <v>1060</v>
      </c>
      <c r="F373" s="211">
        <v>1252</v>
      </c>
      <c r="G373" s="211">
        <v>1004</v>
      </c>
      <c r="I373" s="211" t="s">
        <v>1726</v>
      </c>
      <c r="J373" s="212" t="s">
        <v>638</v>
      </c>
      <c r="K373" s="211" t="s">
        <v>524</v>
      </c>
      <c r="L373" s="211" t="s">
        <v>1753</v>
      </c>
      <c r="AD373" s="213"/>
    </row>
    <row r="374" spans="1:30" s="211" customFormat="1" x14ac:dyDescent="0.25">
      <c r="A374" s="211" t="s">
        <v>117</v>
      </c>
      <c r="B374" s="211">
        <v>563</v>
      </c>
      <c r="C374" s="211" t="s">
        <v>306</v>
      </c>
      <c r="D374" s="211">
        <v>192013797</v>
      </c>
      <c r="E374" s="211">
        <v>1060</v>
      </c>
      <c r="F374" s="211">
        <v>1252</v>
      </c>
      <c r="G374" s="211">
        <v>1004</v>
      </c>
      <c r="I374" s="211" t="s">
        <v>1727</v>
      </c>
      <c r="J374" s="212" t="s">
        <v>638</v>
      </c>
      <c r="K374" s="211" t="s">
        <v>524</v>
      </c>
      <c r="L374" s="211" t="s">
        <v>1754</v>
      </c>
      <c r="AD374" s="213"/>
    </row>
    <row r="375" spans="1:30" s="211" customFormat="1" x14ac:dyDescent="0.25">
      <c r="A375" s="211" t="s">
        <v>117</v>
      </c>
      <c r="B375" s="211">
        <v>563</v>
      </c>
      <c r="C375" s="211" t="s">
        <v>306</v>
      </c>
      <c r="D375" s="211">
        <v>192013798</v>
      </c>
      <c r="E375" s="211">
        <v>1060</v>
      </c>
      <c r="F375" s="211">
        <v>1252</v>
      </c>
      <c r="G375" s="211">
        <v>1004</v>
      </c>
      <c r="I375" s="211" t="s">
        <v>1728</v>
      </c>
      <c r="J375" s="212" t="s">
        <v>638</v>
      </c>
      <c r="K375" s="211" t="s">
        <v>524</v>
      </c>
      <c r="L375" s="211" t="s">
        <v>1755</v>
      </c>
      <c r="AD375" s="213"/>
    </row>
    <row r="376" spans="1:30" s="211" customFormat="1" x14ac:dyDescent="0.25">
      <c r="A376" s="211" t="s">
        <v>117</v>
      </c>
      <c r="B376" s="211">
        <v>563</v>
      </c>
      <c r="C376" s="211" t="s">
        <v>306</v>
      </c>
      <c r="D376" s="211">
        <v>192013799</v>
      </c>
      <c r="E376" s="211">
        <v>1060</v>
      </c>
      <c r="F376" s="211">
        <v>1252</v>
      </c>
      <c r="G376" s="211">
        <v>1004</v>
      </c>
      <c r="I376" s="211" t="s">
        <v>1729</v>
      </c>
      <c r="J376" s="212" t="s">
        <v>638</v>
      </c>
      <c r="K376" s="211" t="s">
        <v>524</v>
      </c>
      <c r="L376" s="211" t="s">
        <v>1756</v>
      </c>
      <c r="AD376" s="213"/>
    </row>
    <row r="377" spans="1:30" s="211" customFormat="1" x14ac:dyDescent="0.25">
      <c r="A377" s="211" t="s">
        <v>117</v>
      </c>
      <c r="B377" s="211">
        <v>563</v>
      </c>
      <c r="C377" s="211" t="s">
        <v>306</v>
      </c>
      <c r="D377" s="211">
        <v>192013800</v>
      </c>
      <c r="E377" s="211">
        <v>1060</v>
      </c>
      <c r="F377" s="211">
        <v>1252</v>
      </c>
      <c r="G377" s="211">
        <v>1004</v>
      </c>
      <c r="I377" s="211" t="s">
        <v>1730</v>
      </c>
      <c r="J377" s="212" t="s">
        <v>638</v>
      </c>
      <c r="K377" s="211" t="s">
        <v>524</v>
      </c>
      <c r="L377" s="211" t="s">
        <v>1757</v>
      </c>
      <c r="AD377" s="213"/>
    </row>
    <row r="378" spans="1:30" s="211" customFormat="1" x14ac:dyDescent="0.25">
      <c r="A378" s="211" t="s">
        <v>117</v>
      </c>
      <c r="B378" s="211">
        <v>563</v>
      </c>
      <c r="C378" s="211" t="s">
        <v>306</v>
      </c>
      <c r="D378" s="211">
        <v>192013807</v>
      </c>
      <c r="E378" s="211">
        <v>1060</v>
      </c>
      <c r="F378" s="211">
        <v>1252</v>
      </c>
      <c r="G378" s="211">
        <v>1004</v>
      </c>
      <c r="I378" s="211" t="s">
        <v>1731</v>
      </c>
      <c r="J378" s="212" t="s">
        <v>638</v>
      </c>
      <c r="K378" s="211" t="s">
        <v>524</v>
      </c>
      <c r="L378" s="211" t="s">
        <v>1758</v>
      </c>
      <c r="AD378" s="213"/>
    </row>
    <row r="379" spans="1:30" s="211" customFormat="1" x14ac:dyDescent="0.25">
      <c r="A379" s="211" t="s">
        <v>117</v>
      </c>
      <c r="B379" s="211">
        <v>563</v>
      </c>
      <c r="C379" s="211" t="s">
        <v>306</v>
      </c>
      <c r="D379" s="211">
        <v>192013808</v>
      </c>
      <c r="E379" s="211">
        <v>1060</v>
      </c>
      <c r="F379" s="211">
        <v>1252</v>
      </c>
      <c r="G379" s="211">
        <v>1004</v>
      </c>
      <c r="I379" s="211" t="s">
        <v>1732</v>
      </c>
      <c r="J379" s="212" t="s">
        <v>638</v>
      </c>
      <c r="K379" s="211" t="s">
        <v>524</v>
      </c>
      <c r="L379" s="211" t="s">
        <v>1759</v>
      </c>
      <c r="AD379" s="213"/>
    </row>
    <row r="380" spans="1:30" s="211" customFormat="1" x14ac:dyDescent="0.25">
      <c r="A380" s="211" t="s">
        <v>117</v>
      </c>
      <c r="B380" s="211">
        <v>563</v>
      </c>
      <c r="C380" s="211" t="s">
        <v>306</v>
      </c>
      <c r="D380" s="211">
        <v>192013860</v>
      </c>
      <c r="E380" s="211">
        <v>1060</v>
      </c>
      <c r="F380" s="211">
        <v>1252</v>
      </c>
      <c r="G380" s="211">
        <v>1004</v>
      </c>
      <c r="I380" s="211" t="s">
        <v>1733</v>
      </c>
      <c r="J380" s="212" t="s">
        <v>638</v>
      </c>
      <c r="K380" s="211" t="s">
        <v>524</v>
      </c>
      <c r="L380" s="211" t="s">
        <v>1760</v>
      </c>
      <c r="AD380" s="213"/>
    </row>
    <row r="381" spans="1:30" s="211" customFormat="1" x14ac:dyDescent="0.25">
      <c r="A381" s="211" t="s">
        <v>117</v>
      </c>
      <c r="B381" s="211">
        <v>563</v>
      </c>
      <c r="C381" s="211" t="s">
        <v>306</v>
      </c>
      <c r="D381" s="211">
        <v>192013862</v>
      </c>
      <c r="E381" s="211">
        <v>1060</v>
      </c>
      <c r="F381" s="211">
        <v>1252</v>
      </c>
      <c r="G381" s="211">
        <v>1004</v>
      </c>
      <c r="I381" s="211" t="s">
        <v>1734</v>
      </c>
      <c r="J381" s="212" t="s">
        <v>638</v>
      </c>
      <c r="K381" s="211" t="s">
        <v>524</v>
      </c>
      <c r="L381" s="211" t="s">
        <v>1761</v>
      </c>
      <c r="AD381" s="213"/>
    </row>
    <row r="382" spans="1:30" s="211" customFormat="1" x14ac:dyDescent="0.25">
      <c r="A382" s="211" t="s">
        <v>117</v>
      </c>
      <c r="B382" s="211">
        <v>563</v>
      </c>
      <c r="C382" s="211" t="s">
        <v>306</v>
      </c>
      <c r="D382" s="211">
        <v>192013863</v>
      </c>
      <c r="E382" s="211">
        <v>1060</v>
      </c>
      <c r="F382" s="211">
        <v>1252</v>
      </c>
      <c r="G382" s="211">
        <v>1004</v>
      </c>
      <c r="I382" s="211" t="s">
        <v>1735</v>
      </c>
      <c r="J382" s="212" t="s">
        <v>638</v>
      </c>
      <c r="K382" s="211" t="s">
        <v>524</v>
      </c>
      <c r="L382" s="211" t="s">
        <v>1762</v>
      </c>
      <c r="AD382" s="213"/>
    </row>
    <row r="383" spans="1:30" s="211" customFormat="1" x14ac:dyDescent="0.25">
      <c r="A383" s="211" t="s">
        <v>117</v>
      </c>
      <c r="B383" s="211">
        <v>563</v>
      </c>
      <c r="C383" s="211" t="s">
        <v>306</v>
      </c>
      <c r="D383" s="211">
        <v>192013868</v>
      </c>
      <c r="E383" s="211">
        <v>1060</v>
      </c>
      <c r="F383" s="211">
        <v>1252</v>
      </c>
      <c r="G383" s="211">
        <v>1004</v>
      </c>
      <c r="I383" s="211" t="s">
        <v>1736</v>
      </c>
      <c r="J383" s="212" t="s">
        <v>638</v>
      </c>
      <c r="K383" s="211" t="s">
        <v>524</v>
      </c>
      <c r="L383" s="211" t="s">
        <v>1763</v>
      </c>
      <c r="AD383" s="213"/>
    </row>
    <row r="384" spans="1:30" s="211" customFormat="1" x14ac:dyDescent="0.25">
      <c r="A384" s="211" t="s">
        <v>117</v>
      </c>
      <c r="B384" s="211">
        <v>563</v>
      </c>
      <c r="C384" s="211" t="s">
        <v>306</v>
      </c>
      <c r="D384" s="211">
        <v>192013930</v>
      </c>
      <c r="E384" s="211">
        <v>1060</v>
      </c>
      <c r="F384" s="211">
        <v>1252</v>
      </c>
      <c r="G384" s="211">
        <v>1004</v>
      </c>
      <c r="I384" s="211" t="s">
        <v>1737</v>
      </c>
      <c r="J384" s="212" t="s">
        <v>638</v>
      </c>
      <c r="K384" s="211" t="s">
        <v>524</v>
      </c>
      <c r="L384" s="211" t="s">
        <v>1764</v>
      </c>
      <c r="AD384" s="213"/>
    </row>
    <row r="385" spans="1:30" s="211" customFormat="1" x14ac:dyDescent="0.25">
      <c r="A385" s="211" t="s">
        <v>117</v>
      </c>
      <c r="B385" s="211">
        <v>563</v>
      </c>
      <c r="C385" s="211" t="s">
        <v>306</v>
      </c>
      <c r="D385" s="211">
        <v>192013931</v>
      </c>
      <c r="E385" s="211">
        <v>1060</v>
      </c>
      <c r="F385" s="211">
        <v>1252</v>
      </c>
      <c r="G385" s="211">
        <v>1004</v>
      </c>
      <c r="I385" s="211" t="s">
        <v>1738</v>
      </c>
      <c r="J385" s="212" t="s">
        <v>638</v>
      </c>
      <c r="K385" s="211" t="s">
        <v>524</v>
      </c>
      <c r="L385" s="211" t="s">
        <v>1765</v>
      </c>
      <c r="AD385" s="213"/>
    </row>
    <row r="386" spans="1:30" s="211" customFormat="1" x14ac:dyDescent="0.25">
      <c r="A386" s="211" t="s">
        <v>117</v>
      </c>
      <c r="B386" s="211">
        <v>563</v>
      </c>
      <c r="C386" s="211" t="s">
        <v>306</v>
      </c>
      <c r="D386" s="211">
        <v>192013932</v>
      </c>
      <c r="E386" s="211">
        <v>1060</v>
      </c>
      <c r="F386" s="211">
        <v>1252</v>
      </c>
      <c r="G386" s="211">
        <v>1004</v>
      </c>
      <c r="I386" s="211" t="s">
        <v>1739</v>
      </c>
      <c r="J386" s="212" t="s">
        <v>638</v>
      </c>
      <c r="K386" s="211" t="s">
        <v>524</v>
      </c>
      <c r="L386" s="211" t="s">
        <v>1766</v>
      </c>
      <c r="AD386" s="213"/>
    </row>
    <row r="387" spans="1:30" s="211" customFormat="1" x14ac:dyDescent="0.25">
      <c r="A387" s="211" t="s">
        <v>117</v>
      </c>
      <c r="B387" s="211">
        <v>563</v>
      </c>
      <c r="C387" s="211" t="s">
        <v>306</v>
      </c>
      <c r="D387" s="211">
        <v>192013995</v>
      </c>
      <c r="E387" s="211">
        <v>1060</v>
      </c>
      <c r="F387" s="211">
        <v>1252</v>
      </c>
      <c r="G387" s="211">
        <v>1004</v>
      </c>
      <c r="I387" s="211" t="s">
        <v>1740</v>
      </c>
      <c r="J387" s="212" t="s">
        <v>638</v>
      </c>
      <c r="K387" s="211" t="s">
        <v>524</v>
      </c>
      <c r="L387" s="211" t="s">
        <v>1767</v>
      </c>
      <c r="AD387" s="213"/>
    </row>
    <row r="388" spans="1:30" s="211" customFormat="1" x14ac:dyDescent="0.25">
      <c r="A388" s="211" t="s">
        <v>117</v>
      </c>
      <c r="B388" s="211">
        <v>563</v>
      </c>
      <c r="C388" s="211" t="s">
        <v>306</v>
      </c>
      <c r="D388" s="211">
        <v>400078231</v>
      </c>
      <c r="E388" s="211">
        <v>1060</v>
      </c>
      <c r="F388" s="211">
        <v>1274</v>
      </c>
      <c r="G388" s="211">
        <v>1004</v>
      </c>
      <c r="I388" s="211" t="s">
        <v>674</v>
      </c>
      <c r="J388" s="212" t="s">
        <v>638</v>
      </c>
      <c r="K388" s="211" t="s">
        <v>639</v>
      </c>
      <c r="L388" s="211" t="s">
        <v>921</v>
      </c>
      <c r="AD388" s="213"/>
    </row>
    <row r="389" spans="1:30" s="211" customFormat="1" x14ac:dyDescent="0.25">
      <c r="A389" s="211" t="s">
        <v>117</v>
      </c>
      <c r="B389" s="211">
        <v>563</v>
      </c>
      <c r="C389" s="211" t="s">
        <v>306</v>
      </c>
      <c r="D389" s="211">
        <v>400078654</v>
      </c>
      <c r="E389" s="211">
        <v>1060</v>
      </c>
      <c r="F389" s="211">
        <v>1274</v>
      </c>
      <c r="G389" s="211">
        <v>1004</v>
      </c>
      <c r="I389" s="211" t="s">
        <v>675</v>
      </c>
      <c r="J389" s="212" t="s">
        <v>638</v>
      </c>
      <c r="K389" s="211" t="s">
        <v>639</v>
      </c>
      <c r="L389" s="211" t="s">
        <v>922</v>
      </c>
      <c r="AD389" s="213"/>
    </row>
    <row r="390" spans="1:30" s="211" customFormat="1" x14ac:dyDescent="0.25">
      <c r="A390" s="211" t="s">
        <v>117</v>
      </c>
      <c r="B390" s="211">
        <v>564</v>
      </c>
      <c r="C390" s="211" t="s">
        <v>307</v>
      </c>
      <c r="D390" s="211">
        <v>192002171</v>
      </c>
      <c r="E390" s="211">
        <v>1060</v>
      </c>
      <c r="F390" s="211">
        <v>1252</v>
      </c>
      <c r="G390" s="211">
        <v>1004</v>
      </c>
      <c r="I390" s="211" t="s">
        <v>2263</v>
      </c>
      <c r="J390" s="212" t="s">
        <v>638</v>
      </c>
      <c r="K390" s="211" t="s">
        <v>524</v>
      </c>
      <c r="L390" s="211" t="s">
        <v>2271</v>
      </c>
      <c r="AD390" s="213"/>
    </row>
    <row r="391" spans="1:30" s="211" customFormat="1" x14ac:dyDescent="0.25">
      <c r="A391" s="211" t="s">
        <v>117</v>
      </c>
      <c r="B391" s="211">
        <v>564</v>
      </c>
      <c r="C391" s="211" t="s">
        <v>307</v>
      </c>
      <c r="D391" s="211">
        <v>192010255</v>
      </c>
      <c r="E391" s="211">
        <v>1060</v>
      </c>
      <c r="F391" s="211">
        <v>1252</v>
      </c>
      <c r="G391" s="211">
        <v>1004</v>
      </c>
      <c r="I391" s="211" t="s">
        <v>2161</v>
      </c>
      <c r="J391" s="212" t="s">
        <v>638</v>
      </c>
      <c r="K391" s="211" t="s">
        <v>524</v>
      </c>
      <c r="L391" s="211" t="s">
        <v>2169</v>
      </c>
      <c r="AD391" s="213"/>
    </row>
    <row r="392" spans="1:30" s="211" customFormat="1" x14ac:dyDescent="0.25">
      <c r="A392" s="211" t="s">
        <v>117</v>
      </c>
      <c r="B392" s="211">
        <v>565</v>
      </c>
      <c r="C392" s="211" t="s">
        <v>308</v>
      </c>
      <c r="D392" s="211">
        <v>191075390</v>
      </c>
      <c r="E392" s="211">
        <v>1040</v>
      </c>
      <c r="F392" s="211">
        <v>1274</v>
      </c>
      <c r="G392" s="211">
        <v>1004</v>
      </c>
      <c r="I392" s="211" t="s">
        <v>676</v>
      </c>
      <c r="J392" s="212" t="s">
        <v>638</v>
      </c>
      <c r="K392" s="211" t="s">
        <v>524</v>
      </c>
      <c r="L392" s="211" t="s">
        <v>859</v>
      </c>
      <c r="AD392" s="213"/>
    </row>
    <row r="393" spans="1:30" s="211" customFormat="1" x14ac:dyDescent="0.25">
      <c r="A393" s="211" t="s">
        <v>117</v>
      </c>
      <c r="B393" s="211">
        <v>566</v>
      </c>
      <c r="C393" s="211" t="s">
        <v>309</v>
      </c>
      <c r="D393" s="211">
        <v>192007454</v>
      </c>
      <c r="E393" s="211">
        <v>1060</v>
      </c>
      <c r="F393" s="211">
        <v>1242</v>
      </c>
      <c r="G393" s="211">
        <v>1004</v>
      </c>
      <c r="I393" s="211" t="s">
        <v>1665</v>
      </c>
      <c r="J393" s="212" t="s">
        <v>638</v>
      </c>
      <c r="K393" s="211" t="s">
        <v>524</v>
      </c>
      <c r="L393" s="211" t="s">
        <v>1669</v>
      </c>
      <c r="AD393" s="213"/>
    </row>
    <row r="394" spans="1:30" s="211" customFormat="1" x14ac:dyDescent="0.25">
      <c r="A394" s="211" t="s">
        <v>117</v>
      </c>
      <c r="B394" s="211">
        <v>567</v>
      </c>
      <c r="C394" s="211" t="s">
        <v>310</v>
      </c>
      <c r="D394" s="211">
        <v>1340081</v>
      </c>
      <c r="E394" s="211">
        <v>1020</v>
      </c>
      <c r="F394" s="211">
        <v>1110</v>
      </c>
      <c r="G394" s="211">
        <v>1004</v>
      </c>
      <c r="I394" s="211" t="s">
        <v>677</v>
      </c>
      <c r="J394" s="212" t="s">
        <v>638</v>
      </c>
      <c r="K394" s="211" t="s">
        <v>524</v>
      </c>
      <c r="L394" s="211" t="s">
        <v>860</v>
      </c>
      <c r="AD394" s="213"/>
    </row>
    <row r="395" spans="1:30" s="211" customFormat="1" x14ac:dyDescent="0.25">
      <c r="A395" s="211" t="s">
        <v>117</v>
      </c>
      <c r="B395" s="211">
        <v>567</v>
      </c>
      <c r="C395" s="211" t="s">
        <v>310</v>
      </c>
      <c r="D395" s="211">
        <v>1340311</v>
      </c>
      <c r="E395" s="211">
        <v>1040</v>
      </c>
      <c r="F395" s="211">
        <v>1211</v>
      </c>
      <c r="G395" s="211">
        <v>1004</v>
      </c>
      <c r="I395" s="211" t="s">
        <v>2947</v>
      </c>
      <c r="J395" s="212" t="s">
        <v>638</v>
      </c>
      <c r="K395" s="211" t="s">
        <v>524</v>
      </c>
      <c r="L395" s="211" t="s">
        <v>2973</v>
      </c>
      <c r="AD395" s="213"/>
    </row>
    <row r="396" spans="1:30" s="211" customFormat="1" x14ac:dyDescent="0.25">
      <c r="A396" s="211" t="s">
        <v>117</v>
      </c>
      <c r="B396" s="211">
        <v>567</v>
      </c>
      <c r="C396" s="211" t="s">
        <v>310</v>
      </c>
      <c r="D396" s="211">
        <v>1340360</v>
      </c>
      <c r="E396" s="211">
        <v>1040</v>
      </c>
      <c r="G396" s="211">
        <v>1004</v>
      </c>
      <c r="I396" s="211" t="s">
        <v>678</v>
      </c>
      <c r="J396" s="212" t="s">
        <v>638</v>
      </c>
      <c r="K396" s="211" t="s">
        <v>526</v>
      </c>
      <c r="L396" s="211" t="s">
        <v>823</v>
      </c>
      <c r="AD396" s="213"/>
    </row>
    <row r="397" spans="1:30" s="211" customFormat="1" x14ac:dyDescent="0.25">
      <c r="A397" s="211" t="s">
        <v>117</v>
      </c>
      <c r="B397" s="211">
        <v>567</v>
      </c>
      <c r="C397" s="211" t="s">
        <v>310</v>
      </c>
      <c r="D397" s="211">
        <v>1340375</v>
      </c>
      <c r="E397" s="211">
        <v>1020</v>
      </c>
      <c r="F397" s="211">
        <v>1110</v>
      </c>
      <c r="G397" s="211">
        <v>1004</v>
      </c>
      <c r="I397" s="211" t="s">
        <v>679</v>
      </c>
      <c r="J397" s="212" t="s">
        <v>638</v>
      </c>
      <c r="K397" s="211" t="s">
        <v>526</v>
      </c>
      <c r="L397" s="211" t="s">
        <v>824</v>
      </c>
      <c r="AD397" s="213"/>
    </row>
    <row r="398" spans="1:30" s="211" customFormat="1" x14ac:dyDescent="0.25">
      <c r="A398" s="211" t="s">
        <v>117</v>
      </c>
      <c r="B398" s="211">
        <v>567</v>
      </c>
      <c r="C398" s="211" t="s">
        <v>310</v>
      </c>
      <c r="D398" s="211">
        <v>1340383</v>
      </c>
      <c r="E398" s="211">
        <v>1060</v>
      </c>
      <c r="G398" s="211">
        <v>1004</v>
      </c>
      <c r="I398" s="211" t="s">
        <v>680</v>
      </c>
      <c r="J398" s="212" t="s">
        <v>638</v>
      </c>
      <c r="K398" s="211" t="s">
        <v>524</v>
      </c>
      <c r="L398" s="211" t="s">
        <v>861</v>
      </c>
      <c r="AD398" s="213"/>
    </row>
    <row r="399" spans="1:30" s="211" customFormat="1" x14ac:dyDescent="0.25">
      <c r="A399" s="211" t="s">
        <v>117</v>
      </c>
      <c r="B399" s="211">
        <v>567</v>
      </c>
      <c r="C399" s="211" t="s">
        <v>310</v>
      </c>
      <c r="D399" s="211">
        <v>1340410</v>
      </c>
      <c r="E399" s="211">
        <v>1040</v>
      </c>
      <c r="G399" s="211">
        <v>1004</v>
      </c>
      <c r="I399" s="211" t="s">
        <v>681</v>
      </c>
      <c r="J399" s="212" t="s">
        <v>638</v>
      </c>
      <c r="K399" s="211" t="s">
        <v>526</v>
      </c>
      <c r="L399" s="211" t="s">
        <v>825</v>
      </c>
      <c r="AD399" s="213"/>
    </row>
    <row r="400" spans="1:30" s="211" customFormat="1" x14ac:dyDescent="0.25">
      <c r="A400" s="211" t="s">
        <v>117</v>
      </c>
      <c r="B400" s="211">
        <v>567</v>
      </c>
      <c r="C400" s="211" t="s">
        <v>310</v>
      </c>
      <c r="D400" s="211">
        <v>3061957</v>
      </c>
      <c r="E400" s="211">
        <v>1030</v>
      </c>
      <c r="F400" s="211">
        <v>1110</v>
      </c>
      <c r="G400" s="211">
        <v>1004</v>
      </c>
      <c r="I400" s="211" t="s">
        <v>682</v>
      </c>
      <c r="J400" s="212" t="s">
        <v>638</v>
      </c>
      <c r="K400" s="211" t="s">
        <v>524</v>
      </c>
      <c r="L400" s="211" t="s">
        <v>862</v>
      </c>
      <c r="AD400" s="213"/>
    </row>
    <row r="401" spans="1:30" s="211" customFormat="1" x14ac:dyDescent="0.25">
      <c r="A401" s="211" t="s">
        <v>117</v>
      </c>
      <c r="B401" s="211">
        <v>567</v>
      </c>
      <c r="C401" s="211" t="s">
        <v>310</v>
      </c>
      <c r="D401" s="211">
        <v>3061963</v>
      </c>
      <c r="E401" s="211">
        <v>1020</v>
      </c>
      <c r="F401" s="211">
        <v>1110</v>
      </c>
      <c r="G401" s="211">
        <v>1004</v>
      </c>
      <c r="I401" s="211" t="s">
        <v>683</v>
      </c>
      <c r="J401" s="212" t="s">
        <v>638</v>
      </c>
      <c r="K401" s="211" t="s">
        <v>526</v>
      </c>
      <c r="L401" s="211" t="s">
        <v>826</v>
      </c>
      <c r="AD401" s="213"/>
    </row>
    <row r="402" spans="1:30" s="211" customFormat="1" x14ac:dyDescent="0.25">
      <c r="A402" s="211" t="s">
        <v>117</v>
      </c>
      <c r="B402" s="211">
        <v>567</v>
      </c>
      <c r="C402" s="211" t="s">
        <v>310</v>
      </c>
      <c r="D402" s="211">
        <v>3061974</v>
      </c>
      <c r="E402" s="211">
        <v>1020</v>
      </c>
      <c r="F402" s="211">
        <v>1110</v>
      </c>
      <c r="G402" s="211">
        <v>1004</v>
      </c>
      <c r="I402" s="211" t="s">
        <v>684</v>
      </c>
      <c r="J402" s="212" t="s">
        <v>638</v>
      </c>
      <c r="K402" s="211" t="s">
        <v>526</v>
      </c>
      <c r="L402" s="211" t="s">
        <v>827</v>
      </c>
      <c r="AD402" s="213"/>
    </row>
    <row r="403" spans="1:30" s="211" customFormat="1" x14ac:dyDescent="0.25">
      <c r="A403" s="211" t="s">
        <v>117</v>
      </c>
      <c r="B403" s="211">
        <v>567</v>
      </c>
      <c r="C403" s="211" t="s">
        <v>310</v>
      </c>
      <c r="D403" s="211">
        <v>3062029</v>
      </c>
      <c r="E403" s="211">
        <v>1030</v>
      </c>
      <c r="F403" s="211">
        <v>1110</v>
      </c>
      <c r="G403" s="211">
        <v>1004</v>
      </c>
      <c r="I403" s="211" t="s">
        <v>685</v>
      </c>
      <c r="J403" s="212" t="s">
        <v>638</v>
      </c>
      <c r="K403" s="211" t="s">
        <v>526</v>
      </c>
      <c r="L403" s="211" t="s">
        <v>828</v>
      </c>
      <c r="AD403" s="213"/>
    </row>
    <row r="404" spans="1:30" s="211" customFormat="1" x14ac:dyDescent="0.25">
      <c r="A404" s="211" t="s">
        <v>117</v>
      </c>
      <c r="B404" s="211">
        <v>567</v>
      </c>
      <c r="C404" s="211" t="s">
        <v>310</v>
      </c>
      <c r="D404" s="211">
        <v>3062078</v>
      </c>
      <c r="E404" s="211">
        <v>1020</v>
      </c>
      <c r="F404" s="211">
        <v>1110</v>
      </c>
      <c r="G404" s="211">
        <v>1004</v>
      </c>
      <c r="I404" s="211" t="s">
        <v>686</v>
      </c>
      <c r="J404" s="212" t="s">
        <v>638</v>
      </c>
      <c r="K404" s="211" t="s">
        <v>526</v>
      </c>
      <c r="L404" s="211" t="s">
        <v>829</v>
      </c>
      <c r="AD404" s="213"/>
    </row>
    <row r="405" spans="1:30" s="211" customFormat="1" x14ac:dyDescent="0.25">
      <c r="A405" s="211" t="s">
        <v>117</v>
      </c>
      <c r="B405" s="211">
        <v>567</v>
      </c>
      <c r="C405" s="211" t="s">
        <v>310</v>
      </c>
      <c r="D405" s="211">
        <v>9010121</v>
      </c>
      <c r="E405" s="211">
        <v>1060</v>
      </c>
      <c r="F405" s="211">
        <v>1212</v>
      </c>
      <c r="G405" s="211">
        <v>1004</v>
      </c>
      <c r="I405" s="211" t="s">
        <v>687</v>
      </c>
      <c r="J405" s="212" t="s">
        <v>638</v>
      </c>
      <c r="K405" s="211" t="s">
        <v>526</v>
      </c>
      <c r="L405" s="211" t="s">
        <v>830</v>
      </c>
      <c r="AD405" s="213"/>
    </row>
    <row r="406" spans="1:30" s="211" customFormat="1" x14ac:dyDescent="0.25">
      <c r="A406" s="211" t="s">
        <v>117</v>
      </c>
      <c r="B406" s="211">
        <v>567</v>
      </c>
      <c r="C406" s="211" t="s">
        <v>310</v>
      </c>
      <c r="D406" s="211">
        <v>190106238</v>
      </c>
      <c r="E406" s="211">
        <v>1060</v>
      </c>
      <c r="G406" s="211">
        <v>1004</v>
      </c>
      <c r="I406" s="211" t="s">
        <v>688</v>
      </c>
      <c r="J406" s="212" t="s">
        <v>638</v>
      </c>
      <c r="K406" s="211" t="s">
        <v>524</v>
      </c>
      <c r="L406" s="211" t="s">
        <v>863</v>
      </c>
      <c r="AD406" s="213"/>
    </row>
    <row r="407" spans="1:30" s="211" customFormat="1" x14ac:dyDescent="0.25">
      <c r="A407" s="211" t="s">
        <v>117</v>
      </c>
      <c r="B407" s="211">
        <v>567</v>
      </c>
      <c r="C407" s="211" t="s">
        <v>310</v>
      </c>
      <c r="D407" s="211">
        <v>191074090</v>
      </c>
      <c r="E407" s="211">
        <v>1020</v>
      </c>
      <c r="F407" s="211">
        <v>1110</v>
      </c>
      <c r="G407" s="211">
        <v>1004</v>
      </c>
      <c r="I407" s="211" t="s">
        <v>689</v>
      </c>
      <c r="J407" s="212" t="s">
        <v>638</v>
      </c>
      <c r="K407" s="211" t="s">
        <v>524</v>
      </c>
      <c r="L407" s="211" t="s">
        <v>864</v>
      </c>
      <c r="AD407" s="213"/>
    </row>
    <row r="408" spans="1:30" s="211" customFormat="1" x14ac:dyDescent="0.25">
      <c r="A408" s="211" t="s">
        <v>117</v>
      </c>
      <c r="B408" s="211">
        <v>567</v>
      </c>
      <c r="C408" s="211" t="s">
        <v>310</v>
      </c>
      <c r="D408" s="211">
        <v>191084310</v>
      </c>
      <c r="E408" s="211">
        <v>1040</v>
      </c>
      <c r="F408" s="211">
        <v>1110</v>
      </c>
      <c r="G408" s="211">
        <v>1004</v>
      </c>
      <c r="I408" s="211" t="s">
        <v>690</v>
      </c>
      <c r="J408" s="212" t="s">
        <v>638</v>
      </c>
      <c r="K408" s="211" t="s">
        <v>526</v>
      </c>
      <c r="L408" s="211" t="s">
        <v>824</v>
      </c>
      <c r="AD408" s="213"/>
    </row>
    <row r="409" spans="1:30" s="211" customFormat="1" x14ac:dyDescent="0.25">
      <c r="A409" s="211" t="s">
        <v>117</v>
      </c>
      <c r="B409" s="211">
        <v>567</v>
      </c>
      <c r="C409" s="211" t="s">
        <v>310</v>
      </c>
      <c r="D409" s="211">
        <v>191087991</v>
      </c>
      <c r="E409" s="211">
        <v>1040</v>
      </c>
      <c r="F409" s="211">
        <v>1110</v>
      </c>
      <c r="G409" s="211">
        <v>1004</v>
      </c>
      <c r="I409" s="211" t="s">
        <v>691</v>
      </c>
      <c r="J409" s="212" t="s">
        <v>638</v>
      </c>
      <c r="K409" s="211" t="s">
        <v>526</v>
      </c>
      <c r="L409" s="211" t="s">
        <v>827</v>
      </c>
      <c r="AD409" s="213"/>
    </row>
    <row r="410" spans="1:30" s="211" customFormat="1" x14ac:dyDescent="0.25">
      <c r="A410" s="211" t="s">
        <v>117</v>
      </c>
      <c r="B410" s="211">
        <v>567</v>
      </c>
      <c r="C410" s="211" t="s">
        <v>310</v>
      </c>
      <c r="D410" s="211">
        <v>191088450</v>
      </c>
      <c r="E410" s="211">
        <v>1020</v>
      </c>
      <c r="F410" s="211">
        <v>1110</v>
      </c>
      <c r="G410" s="211">
        <v>1004</v>
      </c>
      <c r="I410" s="211" t="s">
        <v>692</v>
      </c>
      <c r="J410" s="212" t="s">
        <v>638</v>
      </c>
      <c r="K410" s="211" t="s">
        <v>526</v>
      </c>
      <c r="L410" s="211" t="s">
        <v>828</v>
      </c>
      <c r="AD410" s="213"/>
    </row>
    <row r="411" spans="1:30" s="211" customFormat="1" x14ac:dyDescent="0.25">
      <c r="A411" s="211" t="s">
        <v>117</v>
      </c>
      <c r="B411" s="211">
        <v>567</v>
      </c>
      <c r="C411" s="211" t="s">
        <v>310</v>
      </c>
      <c r="D411" s="211">
        <v>191089253</v>
      </c>
      <c r="E411" s="211">
        <v>1040</v>
      </c>
      <c r="G411" s="211">
        <v>1004</v>
      </c>
      <c r="I411" s="211" t="s">
        <v>693</v>
      </c>
      <c r="J411" s="212" t="s">
        <v>638</v>
      </c>
      <c r="K411" s="211" t="s">
        <v>524</v>
      </c>
      <c r="L411" s="211" t="s">
        <v>865</v>
      </c>
      <c r="AD411" s="213"/>
    </row>
    <row r="412" spans="1:30" s="211" customFormat="1" x14ac:dyDescent="0.25">
      <c r="A412" s="211" t="s">
        <v>117</v>
      </c>
      <c r="B412" s="211">
        <v>567</v>
      </c>
      <c r="C412" s="211" t="s">
        <v>310</v>
      </c>
      <c r="D412" s="211">
        <v>191089391</v>
      </c>
      <c r="E412" s="211">
        <v>1040</v>
      </c>
      <c r="F412" s="211">
        <v>1212</v>
      </c>
      <c r="G412" s="211">
        <v>1004</v>
      </c>
      <c r="I412" s="211" t="s">
        <v>694</v>
      </c>
      <c r="J412" s="212" t="s">
        <v>638</v>
      </c>
      <c r="K412" s="211" t="s">
        <v>526</v>
      </c>
      <c r="L412" s="211" t="s">
        <v>830</v>
      </c>
      <c r="AD412" s="213"/>
    </row>
    <row r="413" spans="1:30" s="211" customFormat="1" x14ac:dyDescent="0.25">
      <c r="A413" s="211" t="s">
        <v>117</v>
      </c>
      <c r="B413" s="211">
        <v>567</v>
      </c>
      <c r="C413" s="211" t="s">
        <v>310</v>
      </c>
      <c r="D413" s="211">
        <v>191089710</v>
      </c>
      <c r="E413" s="211">
        <v>1040</v>
      </c>
      <c r="G413" s="211">
        <v>1004</v>
      </c>
      <c r="I413" s="211" t="s">
        <v>815</v>
      </c>
      <c r="J413" s="212" t="s">
        <v>638</v>
      </c>
      <c r="K413" s="211" t="s">
        <v>524</v>
      </c>
      <c r="L413" s="211" t="s">
        <v>866</v>
      </c>
      <c r="AD413" s="213"/>
    </row>
    <row r="414" spans="1:30" s="211" customFormat="1" x14ac:dyDescent="0.25">
      <c r="A414" s="211" t="s">
        <v>117</v>
      </c>
      <c r="B414" s="211">
        <v>567</v>
      </c>
      <c r="C414" s="211" t="s">
        <v>310</v>
      </c>
      <c r="D414" s="211">
        <v>191089891</v>
      </c>
      <c r="E414" s="211">
        <v>1040</v>
      </c>
      <c r="F414" s="211">
        <v>1110</v>
      </c>
      <c r="G414" s="211">
        <v>1004</v>
      </c>
      <c r="I414" s="211" t="s">
        <v>695</v>
      </c>
      <c r="J414" s="212" t="s">
        <v>638</v>
      </c>
      <c r="K414" s="211" t="s">
        <v>526</v>
      </c>
      <c r="L414" s="211" t="s">
        <v>826</v>
      </c>
      <c r="AD414" s="213"/>
    </row>
    <row r="415" spans="1:30" s="211" customFormat="1" x14ac:dyDescent="0.25">
      <c r="A415" s="211" t="s">
        <v>117</v>
      </c>
      <c r="B415" s="211">
        <v>567</v>
      </c>
      <c r="C415" s="211" t="s">
        <v>310</v>
      </c>
      <c r="D415" s="211">
        <v>191090490</v>
      </c>
      <c r="E415" s="211">
        <v>1040</v>
      </c>
      <c r="G415" s="211">
        <v>1004</v>
      </c>
      <c r="I415" s="211" t="s">
        <v>696</v>
      </c>
      <c r="J415" s="212" t="s">
        <v>638</v>
      </c>
      <c r="K415" s="211" t="s">
        <v>526</v>
      </c>
      <c r="L415" s="211" t="s">
        <v>831</v>
      </c>
      <c r="AD415" s="213"/>
    </row>
    <row r="416" spans="1:30" s="211" customFormat="1" x14ac:dyDescent="0.25">
      <c r="A416" s="211" t="s">
        <v>117</v>
      </c>
      <c r="B416" s="211">
        <v>567</v>
      </c>
      <c r="C416" s="211" t="s">
        <v>310</v>
      </c>
      <c r="D416" s="211">
        <v>191090750</v>
      </c>
      <c r="E416" s="211">
        <v>1040</v>
      </c>
      <c r="G416" s="211">
        <v>1004</v>
      </c>
      <c r="I416" s="211" t="s">
        <v>697</v>
      </c>
      <c r="J416" s="212" t="s">
        <v>638</v>
      </c>
      <c r="K416" s="211" t="s">
        <v>526</v>
      </c>
      <c r="L416" s="211" t="s">
        <v>823</v>
      </c>
      <c r="AD416" s="213"/>
    </row>
    <row r="417" spans="1:30" s="211" customFormat="1" x14ac:dyDescent="0.25">
      <c r="A417" s="211" t="s">
        <v>117</v>
      </c>
      <c r="B417" s="211">
        <v>567</v>
      </c>
      <c r="C417" s="211" t="s">
        <v>310</v>
      </c>
      <c r="D417" s="211">
        <v>191090770</v>
      </c>
      <c r="E417" s="211">
        <v>1040</v>
      </c>
      <c r="G417" s="211">
        <v>1004</v>
      </c>
      <c r="I417" s="211" t="s">
        <v>806</v>
      </c>
      <c r="J417" s="212" t="s">
        <v>638</v>
      </c>
      <c r="K417" s="211" t="s">
        <v>524</v>
      </c>
      <c r="L417" s="211" t="s">
        <v>867</v>
      </c>
      <c r="AD417" s="213"/>
    </row>
    <row r="418" spans="1:30" s="211" customFormat="1" x14ac:dyDescent="0.25">
      <c r="A418" s="211" t="s">
        <v>117</v>
      </c>
      <c r="B418" s="211">
        <v>567</v>
      </c>
      <c r="C418" s="211" t="s">
        <v>310</v>
      </c>
      <c r="D418" s="211">
        <v>191091651</v>
      </c>
      <c r="E418" s="211">
        <v>1020</v>
      </c>
      <c r="F418" s="211">
        <v>1110</v>
      </c>
      <c r="G418" s="211">
        <v>1004</v>
      </c>
      <c r="I418" s="211" t="s">
        <v>698</v>
      </c>
      <c r="J418" s="212" t="s">
        <v>638</v>
      </c>
      <c r="K418" s="211" t="s">
        <v>526</v>
      </c>
      <c r="L418" s="211" t="s">
        <v>832</v>
      </c>
      <c r="AD418" s="213"/>
    </row>
    <row r="419" spans="1:30" s="211" customFormat="1" x14ac:dyDescent="0.25">
      <c r="A419" s="211" t="s">
        <v>117</v>
      </c>
      <c r="B419" s="211">
        <v>567</v>
      </c>
      <c r="C419" s="211" t="s">
        <v>310</v>
      </c>
      <c r="D419" s="211">
        <v>191091850</v>
      </c>
      <c r="E419" s="211">
        <v>1040</v>
      </c>
      <c r="F419" s="211">
        <v>1110</v>
      </c>
      <c r="G419" s="211">
        <v>1004</v>
      </c>
      <c r="I419" s="211" t="s">
        <v>699</v>
      </c>
      <c r="J419" s="212" t="s">
        <v>638</v>
      </c>
      <c r="K419" s="211" t="s">
        <v>526</v>
      </c>
      <c r="L419" s="211" t="s">
        <v>832</v>
      </c>
      <c r="AD419" s="213"/>
    </row>
    <row r="420" spans="1:30" s="211" customFormat="1" x14ac:dyDescent="0.25">
      <c r="A420" s="211" t="s">
        <v>117</v>
      </c>
      <c r="B420" s="211">
        <v>567</v>
      </c>
      <c r="C420" s="211" t="s">
        <v>310</v>
      </c>
      <c r="D420" s="211">
        <v>191095390</v>
      </c>
      <c r="E420" s="211">
        <v>1040</v>
      </c>
      <c r="F420" s="211">
        <v>1110</v>
      </c>
      <c r="G420" s="211">
        <v>1004</v>
      </c>
      <c r="I420" s="211" t="s">
        <v>700</v>
      </c>
      <c r="J420" s="212" t="s">
        <v>638</v>
      </c>
      <c r="K420" s="211" t="s">
        <v>526</v>
      </c>
      <c r="L420" s="211" t="s">
        <v>829</v>
      </c>
      <c r="AD420" s="213"/>
    </row>
    <row r="421" spans="1:30" s="211" customFormat="1" x14ac:dyDescent="0.25">
      <c r="A421" s="211" t="s">
        <v>117</v>
      </c>
      <c r="B421" s="211">
        <v>567</v>
      </c>
      <c r="C421" s="211" t="s">
        <v>310</v>
      </c>
      <c r="D421" s="211">
        <v>191095512</v>
      </c>
      <c r="E421" s="211">
        <v>1060</v>
      </c>
      <c r="G421" s="211">
        <v>1004</v>
      </c>
      <c r="I421" s="211" t="s">
        <v>816</v>
      </c>
      <c r="J421" s="212" t="s">
        <v>638</v>
      </c>
      <c r="K421" s="211" t="s">
        <v>524</v>
      </c>
      <c r="L421" s="211" t="s">
        <v>868</v>
      </c>
      <c r="AD421" s="213"/>
    </row>
    <row r="422" spans="1:30" s="211" customFormat="1" x14ac:dyDescent="0.25">
      <c r="A422" s="211" t="s">
        <v>117</v>
      </c>
      <c r="B422" s="211">
        <v>567</v>
      </c>
      <c r="C422" s="211" t="s">
        <v>310</v>
      </c>
      <c r="D422" s="211">
        <v>191096610</v>
      </c>
      <c r="E422" s="211">
        <v>1020</v>
      </c>
      <c r="F422" s="211">
        <v>1110</v>
      </c>
      <c r="G422" s="211">
        <v>1004</v>
      </c>
      <c r="I422" s="211" t="s">
        <v>701</v>
      </c>
      <c r="J422" s="212" t="s">
        <v>638</v>
      </c>
      <c r="K422" s="211" t="s">
        <v>524</v>
      </c>
      <c r="L422" s="211" t="s">
        <v>869</v>
      </c>
      <c r="AD422" s="213"/>
    </row>
    <row r="423" spans="1:30" s="211" customFormat="1" x14ac:dyDescent="0.25">
      <c r="A423" s="211" t="s">
        <v>117</v>
      </c>
      <c r="B423" s="211">
        <v>567</v>
      </c>
      <c r="C423" s="211" t="s">
        <v>310</v>
      </c>
      <c r="D423" s="211">
        <v>191102072</v>
      </c>
      <c r="E423" s="211">
        <v>1040</v>
      </c>
      <c r="G423" s="211">
        <v>1004</v>
      </c>
      <c r="I423" s="211" t="s">
        <v>702</v>
      </c>
      <c r="J423" s="212" t="s">
        <v>638</v>
      </c>
      <c r="K423" s="211" t="s">
        <v>524</v>
      </c>
      <c r="L423" s="211" t="s">
        <v>870</v>
      </c>
      <c r="AD423" s="213"/>
    </row>
    <row r="424" spans="1:30" s="211" customFormat="1" x14ac:dyDescent="0.25">
      <c r="A424" s="211" t="s">
        <v>117</v>
      </c>
      <c r="B424" s="211">
        <v>567</v>
      </c>
      <c r="C424" s="211" t="s">
        <v>310</v>
      </c>
      <c r="D424" s="211">
        <v>191104110</v>
      </c>
      <c r="E424" s="211">
        <v>1040</v>
      </c>
      <c r="G424" s="211">
        <v>1004</v>
      </c>
      <c r="I424" s="211" t="s">
        <v>703</v>
      </c>
      <c r="J424" s="212" t="s">
        <v>638</v>
      </c>
      <c r="K424" s="211" t="s">
        <v>526</v>
      </c>
      <c r="L424" s="211" t="s">
        <v>825</v>
      </c>
      <c r="AD424" s="213"/>
    </row>
    <row r="425" spans="1:30" s="211" customFormat="1" x14ac:dyDescent="0.25">
      <c r="A425" s="211" t="s">
        <v>117</v>
      </c>
      <c r="B425" s="211">
        <v>567</v>
      </c>
      <c r="C425" s="211" t="s">
        <v>310</v>
      </c>
      <c r="D425" s="211">
        <v>191232053</v>
      </c>
      <c r="E425" s="211">
        <v>1040</v>
      </c>
      <c r="G425" s="211">
        <v>1004</v>
      </c>
      <c r="I425" s="211" t="s">
        <v>696</v>
      </c>
      <c r="J425" s="212" t="s">
        <v>638</v>
      </c>
      <c r="K425" s="211" t="s">
        <v>526</v>
      </c>
      <c r="L425" s="211" t="s">
        <v>831</v>
      </c>
      <c r="AD425" s="213"/>
    </row>
    <row r="426" spans="1:30" s="211" customFormat="1" x14ac:dyDescent="0.25">
      <c r="A426" s="211" t="s">
        <v>117</v>
      </c>
      <c r="B426" s="211">
        <v>567</v>
      </c>
      <c r="C426" s="211" t="s">
        <v>310</v>
      </c>
      <c r="D426" s="211">
        <v>191766183</v>
      </c>
      <c r="E426" s="211">
        <v>1060</v>
      </c>
      <c r="F426" s="211">
        <v>1242</v>
      </c>
      <c r="G426" s="211">
        <v>1004</v>
      </c>
      <c r="I426" s="211" t="s">
        <v>704</v>
      </c>
      <c r="J426" s="212" t="s">
        <v>638</v>
      </c>
      <c r="K426" s="211" t="s">
        <v>524</v>
      </c>
      <c r="L426" s="211" t="s">
        <v>871</v>
      </c>
      <c r="AD426" s="213"/>
    </row>
    <row r="427" spans="1:30" s="211" customFormat="1" x14ac:dyDescent="0.25">
      <c r="A427" s="211" t="s">
        <v>117</v>
      </c>
      <c r="B427" s="211">
        <v>567</v>
      </c>
      <c r="C427" s="211" t="s">
        <v>310</v>
      </c>
      <c r="D427" s="211">
        <v>191869767</v>
      </c>
      <c r="E427" s="211">
        <v>1060</v>
      </c>
      <c r="F427" s="211">
        <v>1274</v>
      </c>
      <c r="G427" s="211">
        <v>1004</v>
      </c>
      <c r="I427" s="211" t="s">
        <v>956</v>
      </c>
      <c r="J427" s="212" t="s">
        <v>638</v>
      </c>
      <c r="K427" s="211" t="s">
        <v>524</v>
      </c>
      <c r="L427" s="211" t="s">
        <v>958</v>
      </c>
      <c r="AD427" s="213"/>
    </row>
    <row r="428" spans="1:30" s="211" customFormat="1" x14ac:dyDescent="0.25">
      <c r="A428" s="211" t="s">
        <v>117</v>
      </c>
      <c r="B428" s="211">
        <v>567</v>
      </c>
      <c r="C428" s="211" t="s">
        <v>310</v>
      </c>
      <c r="D428" s="211">
        <v>191950452</v>
      </c>
      <c r="E428" s="211">
        <v>1060</v>
      </c>
      <c r="F428" s="211">
        <v>1252</v>
      </c>
      <c r="G428" s="211">
        <v>1004</v>
      </c>
      <c r="I428" s="211" t="s">
        <v>705</v>
      </c>
      <c r="J428" s="212" t="s">
        <v>638</v>
      </c>
      <c r="K428" s="211" t="s">
        <v>524</v>
      </c>
      <c r="L428" s="211" t="s">
        <v>872</v>
      </c>
      <c r="AD428" s="213"/>
    </row>
    <row r="429" spans="1:30" s="211" customFormat="1" x14ac:dyDescent="0.25">
      <c r="A429" s="211" t="s">
        <v>117</v>
      </c>
      <c r="B429" s="211">
        <v>567</v>
      </c>
      <c r="C429" s="211" t="s">
        <v>310</v>
      </c>
      <c r="D429" s="211">
        <v>191954641</v>
      </c>
      <c r="E429" s="211">
        <v>1060</v>
      </c>
      <c r="F429" s="211">
        <v>1261</v>
      </c>
      <c r="G429" s="211">
        <v>1004</v>
      </c>
      <c r="I429" s="211" t="s">
        <v>706</v>
      </c>
      <c r="J429" s="212" t="s">
        <v>638</v>
      </c>
      <c r="K429" s="211" t="s">
        <v>524</v>
      </c>
      <c r="L429" s="211" t="s">
        <v>873</v>
      </c>
      <c r="AD429" s="213"/>
    </row>
    <row r="430" spans="1:30" s="211" customFormat="1" x14ac:dyDescent="0.25">
      <c r="A430" s="211" t="s">
        <v>117</v>
      </c>
      <c r="B430" s="211">
        <v>567</v>
      </c>
      <c r="C430" s="211" t="s">
        <v>310</v>
      </c>
      <c r="D430" s="211">
        <v>191954643</v>
      </c>
      <c r="E430" s="211">
        <v>1060</v>
      </c>
      <c r="F430" s="211">
        <v>1261</v>
      </c>
      <c r="G430" s="211">
        <v>1004</v>
      </c>
      <c r="I430" s="211" t="s">
        <v>707</v>
      </c>
      <c r="J430" s="212" t="s">
        <v>638</v>
      </c>
      <c r="K430" s="211" t="s">
        <v>524</v>
      </c>
      <c r="L430" s="211" t="s">
        <v>874</v>
      </c>
      <c r="AD430" s="213"/>
    </row>
    <row r="431" spans="1:30" s="211" customFormat="1" x14ac:dyDescent="0.25">
      <c r="A431" s="211" t="s">
        <v>117</v>
      </c>
      <c r="B431" s="211">
        <v>567</v>
      </c>
      <c r="C431" s="211" t="s">
        <v>310</v>
      </c>
      <c r="D431" s="211">
        <v>191954644</v>
      </c>
      <c r="E431" s="211">
        <v>1060</v>
      </c>
      <c r="F431" s="211">
        <v>1261</v>
      </c>
      <c r="G431" s="211">
        <v>1004</v>
      </c>
      <c r="I431" s="211" t="s">
        <v>708</v>
      </c>
      <c r="J431" s="212" t="s">
        <v>638</v>
      </c>
      <c r="K431" s="211" t="s">
        <v>524</v>
      </c>
      <c r="L431" s="211" t="s">
        <v>875</v>
      </c>
      <c r="AD431" s="213"/>
    </row>
    <row r="432" spans="1:30" s="211" customFormat="1" x14ac:dyDescent="0.25">
      <c r="A432" s="211" t="s">
        <v>117</v>
      </c>
      <c r="B432" s="211">
        <v>567</v>
      </c>
      <c r="C432" s="211" t="s">
        <v>310</v>
      </c>
      <c r="D432" s="211">
        <v>191954645</v>
      </c>
      <c r="E432" s="211">
        <v>1060</v>
      </c>
      <c r="F432" s="211">
        <v>1261</v>
      </c>
      <c r="G432" s="211">
        <v>1004</v>
      </c>
      <c r="I432" s="211" t="s">
        <v>709</v>
      </c>
      <c r="J432" s="212" t="s">
        <v>638</v>
      </c>
      <c r="K432" s="211" t="s">
        <v>524</v>
      </c>
      <c r="L432" s="211" t="s">
        <v>876</v>
      </c>
      <c r="AD432" s="213"/>
    </row>
    <row r="433" spans="1:30" s="211" customFormat="1" x14ac:dyDescent="0.25">
      <c r="A433" s="211" t="s">
        <v>117</v>
      </c>
      <c r="B433" s="211">
        <v>567</v>
      </c>
      <c r="C433" s="211" t="s">
        <v>310</v>
      </c>
      <c r="D433" s="211">
        <v>191956356</v>
      </c>
      <c r="E433" s="211">
        <v>1060</v>
      </c>
      <c r="F433" s="211">
        <v>1274</v>
      </c>
      <c r="G433" s="211">
        <v>1004</v>
      </c>
      <c r="I433" s="211" t="s">
        <v>710</v>
      </c>
      <c r="J433" s="212" t="s">
        <v>638</v>
      </c>
      <c r="K433" s="211" t="s">
        <v>524</v>
      </c>
      <c r="L433" s="211" t="s">
        <v>877</v>
      </c>
      <c r="AD433" s="213"/>
    </row>
    <row r="434" spans="1:30" s="211" customFormat="1" x14ac:dyDescent="0.25">
      <c r="A434" s="211" t="s">
        <v>117</v>
      </c>
      <c r="B434" s="211">
        <v>567</v>
      </c>
      <c r="C434" s="211" t="s">
        <v>310</v>
      </c>
      <c r="D434" s="211">
        <v>191956357</v>
      </c>
      <c r="E434" s="211">
        <v>1060</v>
      </c>
      <c r="F434" s="211">
        <v>1271</v>
      </c>
      <c r="G434" s="211">
        <v>1004</v>
      </c>
      <c r="I434" s="211" t="s">
        <v>711</v>
      </c>
      <c r="J434" s="212" t="s">
        <v>638</v>
      </c>
      <c r="K434" s="211" t="s">
        <v>524</v>
      </c>
      <c r="L434" s="211" t="s">
        <v>878</v>
      </c>
      <c r="AD434" s="213"/>
    </row>
    <row r="435" spans="1:30" s="211" customFormat="1" x14ac:dyDescent="0.25">
      <c r="A435" s="211" t="s">
        <v>117</v>
      </c>
      <c r="B435" s="211">
        <v>567</v>
      </c>
      <c r="C435" s="211" t="s">
        <v>310</v>
      </c>
      <c r="D435" s="211">
        <v>191956358</v>
      </c>
      <c r="E435" s="211">
        <v>1060</v>
      </c>
      <c r="F435" s="211">
        <v>1274</v>
      </c>
      <c r="G435" s="211">
        <v>1004</v>
      </c>
      <c r="I435" s="211" t="s">
        <v>712</v>
      </c>
      <c r="J435" s="212" t="s">
        <v>638</v>
      </c>
      <c r="K435" s="211" t="s">
        <v>524</v>
      </c>
      <c r="L435" s="211" t="s">
        <v>879</v>
      </c>
      <c r="AD435" s="213"/>
    </row>
    <row r="436" spans="1:30" s="211" customFormat="1" x14ac:dyDescent="0.25">
      <c r="A436" s="211" t="s">
        <v>117</v>
      </c>
      <c r="B436" s="211">
        <v>567</v>
      </c>
      <c r="C436" s="211" t="s">
        <v>310</v>
      </c>
      <c r="D436" s="211">
        <v>191956359</v>
      </c>
      <c r="E436" s="211">
        <v>1060</v>
      </c>
      <c r="F436" s="211">
        <v>1274</v>
      </c>
      <c r="G436" s="211">
        <v>1004</v>
      </c>
      <c r="I436" s="211" t="s">
        <v>713</v>
      </c>
      <c r="J436" s="212" t="s">
        <v>638</v>
      </c>
      <c r="K436" s="211" t="s">
        <v>524</v>
      </c>
      <c r="L436" s="211" t="s">
        <v>880</v>
      </c>
      <c r="AD436" s="213"/>
    </row>
    <row r="437" spans="1:30" s="211" customFormat="1" x14ac:dyDescent="0.25">
      <c r="A437" s="211" t="s">
        <v>117</v>
      </c>
      <c r="B437" s="211">
        <v>567</v>
      </c>
      <c r="C437" s="211" t="s">
        <v>310</v>
      </c>
      <c r="D437" s="211">
        <v>191956362</v>
      </c>
      <c r="E437" s="211">
        <v>1060</v>
      </c>
      <c r="F437" s="211">
        <v>1242</v>
      </c>
      <c r="G437" s="211">
        <v>1004</v>
      </c>
      <c r="I437" s="211" t="s">
        <v>714</v>
      </c>
      <c r="J437" s="212" t="s">
        <v>638</v>
      </c>
      <c r="K437" s="211" t="s">
        <v>524</v>
      </c>
      <c r="L437" s="211" t="s">
        <v>881</v>
      </c>
      <c r="AD437" s="213"/>
    </row>
    <row r="438" spans="1:30" s="211" customFormat="1" x14ac:dyDescent="0.25">
      <c r="A438" s="211" t="s">
        <v>117</v>
      </c>
      <c r="B438" s="211">
        <v>567</v>
      </c>
      <c r="C438" s="211" t="s">
        <v>310</v>
      </c>
      <c r="D438" s="211">
        <v>191956365</v>
      </c>
      <c r="E438" s="211">
        <v>1060</v>
      </c>
      <c r="F438" s="211">
        <v>1271</v>
      </c>
      <c r="G438" s="211">
        <v>1004</v>
      </c>
      <c r="I438" s="211" t="s">
        <v>715</v>
      </c>
      <c r="J438" s="212" t="s">
        <v>638</v>
      </c>
      <c r="K438" s="211" t="s">
        <v>524</v>
      </c>
      <c r="L438" s="211" t="s">
        <v>882</v>
      </c>
      <c r="AD438" s="213"/>
    </row>
    <row r="439" spans="1:30" s="211" customFormat="1" x14ac:dyDescent="0.25">
      <c r="A439" s="211" t="s">
        <v>117</v>
      </c>
      <c r="B439" s="211">
        <v>567</v>
      </c>
      <c r="C439" s="211" t="s">
        <v>310</v>
      </c>
      <c r="D439" s="211">
        <v>191956378</v>
      </c>
      <c r="E439" s="211">
        <v>1060</v>
      </c>
      <c r="F439" s="211">
        <v>1271</v>
      </c>
      <c r="G439" s="211">
        <v>1004</v>
      </c>
      <c r="I439" s="211" t="s">
        <v>716</v>
      </c>
      <c r="J439" s="212" t="s">
        <v>638</v>
      </c>
      <c r="K439" s="211" t="s">
        <v>524</v>
      </c>
      <c r="L439" s="211" t="s">
        <v>883</v>
      </c>
      <c r="AD439" s="213"/>
    </row>
    <row r="440" spans="1:30" s="211" customFormat="1" x14ac:dyDescent="0.25">
      <c r="A440" s="211" t="s">
        <v>117</v>
      </c>
      <c r="B440" s="211">
        <v>567</v>
      </c>
      <c r="C440" s="211" t="s">
        <v>310</v>
      </c>
      <c r="D440" s="211">
        <v>191956379</v>
      </c>
      <c r="E440" s="211">
        <v>1060</v>
      </c>
      <c r="F440" s="211">
        <v>1271</v>
      </c>
      <c r="G440" s="211">
        <v>1004</v>
      </c>
      <c r="I440" s="211" t="s">
        <v>717</v>
      </c>
      <c r="J440" s="212" t="s">
        <v>638</v>
      </c>
      <c r="K440" s="211" t="s">
        <v>524</v>
      </c>
      <c r="L440" s="211" t="s">
        <v>884</v>
      </c>
      <c r="AD440" s="213"/>
    </row>
    <row r="441" spans="1:30" s="211" customFormat="1" x14ac:dyDescent="0.25">
      <c r="A441" s="211" t="s">
        <v>117</v>
      </c>
      <c r="B441" s="211">
        <v>567</v>
      </c>
      <c r="C441" s="211" t="s">
        <v>310</v>
      </c>
      <c r="D441" s="211">
        <v>191956380</v>
      </c>
      <c r="E441" s="211">
        <v>1060</v>
      </c>
      <c r="F441" s="211">
        <v>1220</v>
      </c>
      <c r="G441" s="211">
        <v>1004</v>
      </c>
      <c r="I441" s="211" t="s">
        <v>718</v>
      </c>
      <c r="J441" s="212" t="s">
        <v>638</v>
      </c>
      <c r="K441" s="211" t="s">
        <v>639</v>
      </c>
      <c r="L441" s="211" t="s">
        <v>923</v>
      </c>
      <c r="AD441" s="213"/>
    </row>
    <row r="442" spans="1:30" s="211" customFormat="1" x14ac:dyDescent="0.25">
      <c r="A442" s="211" t="s">
        <v>117</v>
      </c>
      <c r="B442" s="211">
        <v>567</v>
      </c>
      <c r="C442" s="211" t="s">
        <v>310</v>
      </c>
      <c r="D442" s="211">
        <v>191974549</v>
      </c>
      <c r="E442" s="211">
        <v>1020</v>
      </c>
      <c r="F442" s="211">
        <v>1121</v>
      </c>
      <c r="G442" s="211">
        <v>1003</v>
      </c>
      <c r="I442" s="211" t="s">
        <v>2371</v>
      </c>
      <c r="J442" s="212" t="s">
        <v>638</v>
      </c>
      <c r="K442" s="211" t="s">
        <v>639</v>
      </c>
      <c r="L442" s="211" t="s">
        <v>2391</v>
      </c>
      <c r="AD442" s="213"/>
    </row>
    <row r="443" spans="1:30" s="211" customFormat="1" x14ac:dyDescent="0.25">
      <c r="A443" s="211" t="s">
        <v>117</v>
      </c>
      <c r="B443" s="211">
        <v>567</v>
      </c>
      <c r="C443" s="211" t="s">
        <v>310</v>
      </c>
      <c r="D443" s="211">
        <v>191979389</v>
      </c>
      <c r="E443" s="211">
        <v>1060</v>
      </c>
      <c r="F443" s="211">
        <v>1242</v>
      </c>
      <c r="G443" s="211">
        <v>1004</v>
      </c>
      <c r="I443" s="211" t="s">
        <v>810</v>
      </c>
      <c r="J443" s="212" t="s">
        <v>638</v>
      </c>
      <c r="K443" s="211" t="s">
        <v>639</v>
      </c>
      <c r="L443" s="211" t="s">
        <v>924</v>
      </c>
      <c r="AD443" s="213"/>
    </row>
    <row r="444" spans="1:30" s="211" customFormat="1" x14ac:dyDescent="0.25">
      <c r="A444" s="211" t="s">
        <v>117</v>
      </c>
      <c r="B444" s="211">
        <v>567</v>
      </c>
      <c r="C444" s="211" t="s">
        <v>310</v>
      </c>
      <c r="D444" s="211">
        <v>192026755</v>
      </c>
      <c r="E444" s="211">
        <v>1060</v>
      </c>
      <c r="F444" s="211">
        <v>1271</v>
      </c>
      <c r="G444" s="211">
        <v>1004</v>
      </c>
      <c r="I444" s="211" t="s">
        <v>2948</v>
      </c>
      <c r="J444" s="212" t="s">
        <v>638</v>
      </c>
      <c r="K444" s="211" t="s">
        <v>639</v>
      </c>
      <c r="L444" s="211" t="s">
        <v>2985</v>
      </c>
      <c r="AD444" s="213"/>
    </row>
    <row r="445" spans="1:30" s="211" customFormat="1" x14ac:dyDescent="0.25">
      <c r="A445" s="211" t="s">
        <v>117</v>
      </c>
      <c r="B445" s="211">
        <v>571</v>
      </c>
      <c r="C445" s="211" t="s">
        <v>311</v>
      </c>
      <c r="D445" s="211">
        <v>1340866</v>
      </c>
      <c r="E445" s="211">
        <v>1020</v>
      </c>
      <c r="F445" s="211">
        <v>1110</v>
      </c>
      <c r="G445" s="211">
        <v>1004</v>
      </c>
      <c r="I445" s="211" t="s">
        <v>1441</v>
      </c>
      <c r="J445" s="212" t="s">
        <v>638</v>
      </c>
      <c r="K445" s="211" t="s">
        <v>639</v>
      </c>
      <c r="L445" s="211" t="s">
        <v>1478</v>
      </c>
      <c r="AD445" s="213"/>
    </row>
    <row r="446" spans="1:30" s="211" customFormat="1" x14ac:dyDescent="0.25">
      <c r="A446" s="211" t="s">
        <v>117</v>
      </c>
      <c r="B446" s="211">
        <v>571</v>
      </c>
      <c r="C446" s="211" t="s">
        <v>311</v>
      </c>
      <c r="D446" s="211">
        <v>192044933</v>
      </c>
      <c r="E446" s="211">
        <v>1060</v>
      </c>
      <c r="F446" s="211">
        <v>1274</v>
      </c>
      <c r="G446" s="211">
        <v>1004</v>
      </c>
      <c r="I446" s="211" t="s">
        <v>2995</v>
      </c>
      <c r="J446" s="212" t="s">
        <v>638</v>
      </c>
      <c r="K446" s="211" t="s">
        <v>639</v>
      </c>
      <c r="L446" s="211" t="s">
        <v>3009</v>
      </c>
      <c r="AD446" s="213"/>
    </row>
    <row r="447" spans="1:30" s="211" customFormat="1" x14ac:dyDescent="0.25">
      <c r="A447" s="211" t="s">
        <v>117</v>
      </c>
      <c r="B447" s="211">
        <v>573</v>
      </c>
      <c r="C447" s="211" t="s">
        <v>313</v>
      </c>
      <c r="D447" s="211">
        <v>191880888</v>
      </c>
      <c r="E447" s="211">
        <v>1060</v>
      </c>
      <c r="F447" s="211">
        <v>1274</v>
      </c>
      <c r="G447" s="211">
        <v>1004</v>
      </c>
      <c r="I447" s="211" t="s">
        <v>719</v>
      </c>
      <c r="J447" s="212" t="s">
        <v>638</v>
      </c>
      <c r="K447" s="211" t="s">
        <v>524</v>
      </c>
      <c r="L447" s="211" t="s">
        <v>885</v>
      </c>
      <c r="AD447" s="213"/>
    </row>
    <row r="448" spans="1:30" s="211" customFormat="1" x14ac:dyDescent="0.25">
      <c r="A448" s="211" t="s">
        <v>117</v>
      </c>
      <c r="B448" s="211">
        <v>573</v>
      </c>
      <c r="C448" s="211" t="s">
        <v>313</v>
      </c>
      <c r="D448" s="211">
        <v>191997079</v>
      </c>
      <c r="E448" s="211">
        <v>1020</v>
      </c>
      <c r="F448" s="211">
        <v>1110</v>
      </c>
      <c r="G448" s="211">
        <v>1004</v>
      </c>
      <c r="I448" s="211" t="s">
        <v>2359</v>
      </c>
      <c r="J448" s="212" t="s">
        <v>638</v>
      </c>
      <c r="K448" s="211" t="s">
        <v>524</v>
      </c>
      <c r="L448" s="211" t="s">
        <v>2363</v>
      </c>
      <c r="AD448" s="213"/>
    </row>
    <row r="449" spans="1:30" s="211" customFormat="1" x14ac:dyDescent="0.25">
      <c r="A449" s="211" t="s">
        <v>117</v>
      </c>
      <c r="B449" s="211">
        <v>573</v>
      </c>
      <c r="C449" s="211" t="s">
        <v>313</v>
      </c>
      <c r="D449" s="211">
        <v>191997085</v>
      </c>
      <c r="E449" s="211">
        <v>1060</v>
      </c>
      <c r="F449" s="211">
        <v>1242</v>
      </c>
      <c r="G449" s="211">
        <v>1004</v>
      </c>
      <c r="I449" s="211" t="s">
        <v>2359</v>
      </c>
      <c r="J449" s="212" t="s">
        <v>638</v>
      </c>
      <c r="K449" s="211" t="s">
        <v>524</v>
      </c>
      <c r="L449" s="211" t="s">
        <v>2364</v>
      </c>
      <c r="AD449" s="213"/>
    </row>
    <row r="450" spans="1:30" s="211" customFormat="1" x14ac:dyDescent="0.25">
      <c r="A450" s="211" t="s">
        <v>117</v>
      </c>
      <c r="B450" s="211">
        <v>573</v>
      </c>
      <c r="C450" s="211" t="s">
        <v>313</v>
      </c>
      <c r="D450" s="211">
        <v>192046880</v>
      </c>
      <c r="E450" s="211">
        <v>1060</v>
      </c>
      <c r="F450" s="211">
        <v>1242</v>
      </c>
      <c r="G450" s="211">
        <v>1003</v>
      </c>
      <c r="I450" s="211" t="s">
        <v>3156</v>
      </c>
      <c r="J450" s="212" t="s">
        <v>638</v>
      </c>
      <c r="K450" s="211" t="s">
        <v>639</v>
      </c>
      <c r="L450" s="211" t="s">
        <v>3193</v>
      </c>
      <c r="AD450" s="213"/>
    </row>
    <row r="451" spans="1:30" s="211" customFormat="1" x14ac:dyDescent="0.25">
      <c r="A451" s="211" t="s">
        <v>117</v>
      </c>
      <c r="B451" s="211">
        <v>574</v>
      </c>
      <c r="C451" s="211" t="s">
        <v>314</v>
      </c>
      <c r="D451" s="211">
        <v>1343268</v>
      </c>
      <c r="E451" s="211">
        <v>1020</v>
      </c>
      <c r="F451" s="211">
        <v>1121</v>
      </c>
      <c r="G451" s="211">
        <v>1004</v>
      </c>
      <c r="I451" s="211" t="s">
        <v>1322</v>
      </c>
      <c r="J451" s="212" t="s">
        <v>638</v>
      </c>
      <c r="K451" s="211" t="s">
        <v>524</v>
      </c>
      <c r="L451" s="211" t="s">
        <v>1324</v>
      </c>
      <c r="AD451" s="213"/>
    </row>
    <row r="452" spans="1:30" s="211" customFormat="1" x14ac:dyDescent="0.25">
      <c r="A452" s="211" t="s">
        <v>117</v>
      </c>
      <c r="B452" s="211">
        <v>574</v>
      </c>
      <c r="C452" s="211" t="s">
        <v>314</v>
      </c>
      <c r="D452" s="211">
        <v>192019087</v>
      </c>
      <c r="E452" s="211">
        <v>1060</v>
      </c>
      <c r="F452" s="211">
        <v>1271</v>
      </c>
      <c r="G452" s="211">
        <v>1004</v>
      </c>
      <c r="I452" s="211" t="s">
        <v>2070</v>
      </c>
      <c r="J452" s="212" t="s">
        <v>638</v>
      </c>
      <c r="K452" s="211" t="s">
        <v>639</v>
      </c>
      <c r="L452" s="211" t="s">
        <v>2667</v>
      </c>
      <c r="AD452" s="213"/>
    </row>
    <row r="453" spans="1:30" s="211" customFormat="1" x14ac:dyDescent="0.25">
      <c r="A453" s="211" t="s">
        <v>117</v>
      </c>
      <c r="B453" s="211">
        <v>574</v>
      </c>
      <c r="C453" s="211" t="s">
        <v>314</v>
      </c>
      <c r="D453" s="211">
        <v>192019091</v>
      </c>
      <c r="E453" s="211">
        <v>1060</v>
      </c>
      <c r="F453" s="211">
        <v>1252</v>
      </c>
      <c r="G453" s="211">
        <v>1004</v>
      </c>
      <c r="I453" s="211" t="s">
        <v>2071</v>
      </c>
      <c r="J453" s="212" t="s">
        <v>638</v>
      </c>
      <c r="K453" s="211" t="s">
        <v>524</v>
      </c>
      <c r="L453" s="211" t="s">
        <v>2084</v>
      </c>
      <c r="AD453" s="213"/>
    </row>
    <row r="454" spans="1:30" s="211" customFormat="1" x14ac:dyDescent="0.25">
      <c r="A454" s="211" t="s">
        <v>117</v>
      </c>
      <c r="B454" s="211">
        <v>574</v>
      </c>
      <c r="C454" s="211" t="s">
        <v>314</v>
      </c>
      <c r="D454" s="211">
        <v>502212737</v>
      </c>
      <c r="E454" s="211">
        <v>1060</v>
      </c>
      <c r="F454" s="211">
        <v>1271</v>
      </c>
      <c r="G454" s="211">
        <v>1004</v>
      </c>
      <c r="I454" s="211" t="s">
        <v>2645</v>
      </c>
      <c r="J454" s="212" t="s">
        <v>638</v>
      </c>
      <c r="K454" s="211" t="s">
        <v>639</v>
      </c>
      <c r="L454" s="211" t="s">
        <v>2668</v>
      </c>
      <c r="AD454" s="213"/>
    </row>
    <row r="455" spans="1:30" s="211" customFormat="1" x14ac:dyDescent="0.25">
      <c r="A455" s="211" t="s">
        <v>117</v>
      </c>
      <c r="B455" s="211">
        <v>575</v>
      </c>
      <c r="C455" s="211" t="s">
        <v>315</v>
      </c>
      <c r="D455" s="211">
        <v>191385352</v>
      </c>
      <c r="E455" s="211">
        <v>1040</v>
      </c>
      <c r="G455" s="211">
        <v>1004</v>
      </c>
      <c r="I455" s="211" t="s">
        <v>1497</v>
      </c>
      <c r="J455" s="212" t="s">
        <v>638</v>
      </c>
      <c r="K455" s="211" t="s">
        <v>524</v>
      </c>
      <c r="L455" s="211" t="s">
        <v>1510</v>
      </c>
      <c r="AD455" s="213"/>
    </row>
    <row r="456" spans="1:30" s="211" customFormat="1" x14ac:dyDescent="0.25">
      <c r="A456" s="211" t="s">
        <v>117</v>
      </c>
      <c r="B456" s="211">
        <v>575</v>
      </c>
      <c r="C456" s="211" t="s">
        <v>315</v>
      </c>
      <c r="D456" s="211">
        <v>191997587</v>
      </c>
      <c r="E456" s="211">
        <v>1060</v>
      </c>
      <c r="F456" s="211">
        <v>1274</v>
      </c>
      <c r="G456" s="211">
        <v>1004</v>
      </c>
      <c r="I456" s="211" t="s">
        <v>2892</v>
      </c>
      <c r="J456" s="212" t="s">
        <v>638</v>
      </c>
      <c r="K456" s="211" t="s">
        <v>524</v>
      </c>
      <c r="L456" s="211" t="s">
        <v>2914</v>
      </c>
      <c r="AD456" s="213"/>
    </row>
    <row r="457" spans="1:30" s="211" customFormat="1" x14ac:dyDescent="0.25">
      <c r="A457" s="211" t="s">
        <v>117</v>
      </c>
      <c r="B457" s="211">
        <v>576</v>
      </c>
      <c r="C457" s="211" t="s">
        <v>316</v>
      </c>
      <c r="D457" s="211">
        <v>191981925</v>
      </c>
      <c r="E457" s="211">
        <v>1040</v>
      </c>
      <c r="F457" s="211">
        <v>1271</v>
      </c>
      <c r="G457" s="211">
        <v>1004</v>
      </c>
      <c r="I457" s="211" t="s">
        <v>2516</v>
      </c>
      <c r="J457" s="212" t="s">
        <v>638</v>
      </c>
      <c r="K457" s="211" t="s">
        <v>524</v>
      </c>
      <c r="L457" s="211" t="s">
        <v>2539</v>
      </c>
      <c r="AD457" s="213"/>
    </row>
    <row r="458" spans="1:30" s="211" customFormat="1" x14ac:dyDescent="0.25">
      <c r="A458" s="211" t="s">
        <v>117</v>
      </c>
      <c r="B458" s="211">
        <v>577</v>
      </c>
      <c r="C458" s="211" t="s">
        <v>317</v>
      </c>
      <c r="D458" s="211">
        <v>191433371</v>
      </c>
      <c r="E458" s="211">
        <v>1040</v>
      </c>
      <c r="F458" s="211">
        <v>1271</v>
      </c>
      <c r="G458" s="211">
        <v>1004</v>
      </c>
      <c r="I458" s="211" t="s">
        <v>1597</v>
      </c>
      <c r="J458" s="212" t="s">
        <v>638</v>
      </c>
      <c r="K458" s="211" t="s">
        <v>639</v>
      </c>
      <c r="L458" s="211" t="s">
        <v>1615</v>
      </c>
      <c r="AD458" s="213"/>
    </row>
    <row r="459" spans="1:30" s="211" customFormat="1" x14ac:dyDescent="0.25">
      <c r="A459" s="211" t="s">
        <v>117</v>
      </c>
      <c r="B459" s="211">
        <v>577</v>
      </c>
      <c r="C459" s="211" t="s">
        <v>317</v>
      </c>
      <c r="D459" s="211">
        <v>191433372</v>
      </c>
      <c r="E459" s="211">
        <v>1040</v>
      </c>
      <c r="F459" s="211">
        <v>1271</v>
      </c>
      <c r="G459" s="211">
        <v>1004</v>
      </c>
      <c r="I459" s="211" t="s">
        <v>1598</v>
      </c>
      <c r="J459" s="212" t="s">
        <v>638</v>
      </c>
      <c r="K459" s="211" t="s">
        <v>639</v>
      </c>
      <c r="L459" s="211" t="s">
        <v>1616</v>
      </c>
      <c r="AD459" s="213"/>
    </row>
    <row r="460" spans="1:30" s="211" customFormat="1" x14ac:dyDescent="0.25">
      <c r="A460" s="211" t="s">
        <v>117</v>
      </c>
      <c r="B460" s="211">
        <v>577</v>
      </c>
      <c r="C460" s="211" t="s">
        <v>317</v>
      </c>
      <c r="D460" s="211">
        <v>191433391</v>
      </c>
      <c r="E460" s="211">
        <v>1040</v>
      </c>
      <c r="F460" s="211">
        <v>1271</v>
      </c>
      <c r="G460" s="211">
        <v>1004</v>
      </c>
      <c r="I460" s="211" t="s">
        <v>1599</v>
      </c>
      <c r="J460" s="212" t="s">
        <v>638</v>
      </c>
      <c r="K460" s="211" t="s">
        <v>639</v>
      </c>
      <c r="L460" s="211" t="s">
        <v>1617</v>
      </c>
      <c r="AD460" s="213"/>
    </row>
    <row r="461" spans="1:30" s="211" customFormat="1" x14ac:dyDescent="0.25">
      <c r="A461" s="211" t="s">
        <v>117</v>
      </c>
      <c r="B461" s="211">
        <v>577</v>
      </c>
      <c r="C461" s="211" t="s">
        <v>317</v>
      </c>
      <c r="D461" s="211">
        <v>191969220</v>
      </c>
      <c r="E461" s="211">
        <v>1080</v>
      </c>
      <c r="F461" s="211">
        <v>1274</v>
      </c>
      <c r="G461" s="211">
        <v>1004</v>
      </c>
      <c r="I461" s="211" t="s">
        <v>1600</v>
      </c>
      <c r="J461" s="212" t="s">
        <v>638</v>
      </c>
      <c r="K461" s="211" t="s">
        <v>524</v>
      </c>
      <c r="L461" s="211" t="s">
        <v>1609</v>
      </c>
      <c r="AD461" s="213"/>
    </row>
    <row r="462" spans="1:30" s="211" customFormat="1" x14ac:dyDescent="0.25">
      <c r="A462" s="211" t="s">
        <v>117</v>
      </c>
      <c r="B462" s="211">
        <v>579</v>
      </c>
      <c r="C462" s="211" t="s">
        <v>319</v>
      </c>
      <c r="D462" s="211">
        <v>191875808</v>
      </c>
      <c r="E462" s="211">
        <v>1020</v>
      </c>
      <c r="F462" s="211">
        <v>1121</v>
      </c>
      <c r="G462" s="211">
        <v>1004</v>
      </c>
      <c r="I462" s="211" t="s">
        <v>1647</v>
      </c>
      <c r="J462" s="212" t="s">
        <v>638</v>
      </c>
      <c r="K462" s="211" t="s">
        <v>524</v>
      </c>
      <c r="L462" s="211" t="s">
        <v>1651</v>
      </c>
      <c r="AD462" s="213"/>
    </row>
    <row r="463" spans="1:30" s="211" customFormat="1" x14ac:dyDescent="0.25">
      <c r="A463" s="211" t="s">
        <v>117</v>
      </c>
      <c r="B463" s="211">
        <v>581</v>
      </c>
      <c r="C463" s="211" t="s">
        <v>321</v>
      </c>
      <c r="D463" s="211">
        <v>1346749</v>
      </c>
      <c r="E463" s="211">
        <v>1020</v>
      </c>
      <c r="F463" s="211">
        <v>1122</v>
      </c>
      <c r="G463" s="211">
        <v>1004</v>
      </c>
      <c r="I463" s="211" t="s">
        <v>2111</v>
      </c>
      <c r="J463" s="212" t="s">
        <v>638</v>
      </c>
      <c r="K463" s="211" t="s">
        <v>639</v>
      </c>
      <c r="L463" s="211" t="s">
        <v>2117</v>
      </c>
      <c r="AD463" s="213"/>
    </row>
    <row r="464" spans="1:30" s="211" customFormat="1" x14ac:dyDescent="0.25">
      <c r="A464" s="211" t="s">
        <v>117</v>
      </c>
      <c r="B464" s="211">
        <v>581</v>
      </c>
      <c r="C464" s="211" t="s">
        <v>321</v>
      </c>
      <c r="D464" s="211">
        <v>9005811</v>
      </c>
      <c r="E464" s="211">
        <v>1060</v>
      </c>
      <c r="F464" s="211">
        <v>1265</v>
      </c>
      <c r="G464" s="211">
        <v>1004</v>
      </c>
      <c r="I464" s="211" t="s">
        <v>2752</v>
      </c>
      <c r="J464" s="212" t="s">
        <v>638</v>
      </c>
      <c r="K464" s="211" t="s">
        <v>526</v>
      </c>
      <c r="L464" s="211" t="s">
        <v>2773</v>
      </c>
      <c r="AD464" s="213"/>
    </row>
    <row r="465" spans="1:30" s="211" customFormat="1" x14ac:dyDescent="0.25">
      <c r="A465" s="211" t="s">
        <v>117</v>
      </c>
      <c r="B465" s="211">
        <v>581</v>
      </c>
      <c r="C465" s="211" t="s">
        <v>321</v>
      </c>
      <c r="D465" s="211">
        <v>192036960</v>
      </c>
      <c r="E465" s="211">
        <v>1060</v>
      </c>
      <c r="F465" s="211">
        <v>1274</v>
      </c>
      <c r="G465" s="211">
        <v>1004</v>
      </c>
      <c r="I465" s="211" t="s">
        <v>1834</v>
      </c>
      <c r="J465" s="212" t="s">
        <v>638</v>
      </c>
      <c r="K465" s="211" t="s">
        <v>524</v>
      </c>
      <c r="L465" s="211" t="s">
        <v>2631</v>
      </c>
      <c r="AD465" s="213"/>
    </row>
    <row r="466" spans="1:30" s="211" customFormat="1" x14ac:dyDescent="0.25">
      <c r="A466" s="211" t="s">
        <v>117</v>
      </c>
      <c r="B466" s="211">
        <v>584</v>
      </c>
      <c r="C466" s="211" t="s">
        <v>323</v>
      </c>
      <c r="D466" s="211">
        <v>191873170</v>
      </c>
      <c r="E466" s="211">
        <v>1060</v>
      </c>
      <c r="F466" s="211">
        <v>1274</v>
      </c>
      <c r="G466" s="211">
        <v>1003</v>
      </c>
      <c r="I466" s="211" t="s">
        <v>1601</v>
      </c>
      <c r="J466" s="212" t="s">
        <v>638</v>
      </c>
      <c r="K466" s="211" t="s">
        <v>524</v>
      </c>
      <c r="L466" s="211" t="s">
        <v>1610</v>
      </c>
      <c r="AD466" s="213"/>
    </row>
    <row r="467" spans="1:30" s="211" customFormat="1" x14ac:dyDescent="0.25">
      <c r="A467" s="211" t="s">
        <v>117</v>
      </c>
      <c r="B467" s="211">
        <v>584</v>
      </c>
      <c r="C467" s="211" t="s">
        <v>323</v>
      </c>
      <c r="D467" s="211">
        <v>192012918</v>
      </c>
      <c r="E467" s="211">
        <v>1060</v>
      </c>
      <c r="F467" s="211">
        <v>1271</v>
      </c>
      <c r="G467" s="211">
        <v>1004</v>
      </c>
      <c r="I467" s="211" t="s">
        <v>1711</v>
      </c>
      <c r="J467" s="212" t="s">
        <v>638</v>
      </c>
      <c r="K467" s="211" t="s">
        <v>524</v>
      </c>
      <c r="L467" s="211" t="s">
        <v>1713</v>
      </c>
      <c r="AD467" s="213"/>
    </row>
    <row r="468" spans="1:30" s="211" customFormat="1" x14ac:dyDescent="0.25">
      <c r="A468" s="211" t="s">
        <v>117</v>
      </c>
      <c r="B468" s="211">
        <v>584</v>
      </c>
      <c r="C468" s="211" t="s">
        <v>323</v>
      </c>
      <c r="D468" s="211">
        <v>192028109</v>
      </c>
      <c r="E468" s="211">
        <v>1080</v>
      </c>
      <c r="F468" s="211">
        <v>1274</v>
      </c>
      <c r="G468" s="211">
        <v>1004</v>
      </c>
      <c r="I468" s="211" t="s">
        <v>2318</v>
      </c>
      <c r="J468" s="212" t="s">
        <v>638</v>
      </c>
      <c r="K468" s="211" t="s">
        <v>524</v>
      </c>
      <c r="L468" s="211" t="s">
        <v>2322</v>
      </c>
      <c r="AD468" s="213"/>
    </row>
    <row r="469" spans="1:30" s="211" customFormat="1" x14ac:dyDescent="0.25">
      <c r="A469" s="211" t="s">
        <v>117</v>
      </c>
      <c r="B469" s="211">
        <v>585</v>
      </c>
      <c r="C469" s="211" t="s">
        <v>324</v>
      </c>
      <c r="D469" s="211">
        <v>192048148</v>
      </c>
      <c r="E469" s="211">
        <v>1080</v>
      </c>
      <c r="F469" s="211">
        <v>1242</v>
      </c>
      <c r="G469" s="211">
        <v>1004</v>
      </c>
      <c r="I469" s="211" t="s">
        <v>3239</v>
      </c>
      <c r="J469" s="212" t="s">
        <v>638</v>
      </c>
      <c r="K469" s="211" t="s">
        <v>524</v>
      </c>
      <c r="L469" s="211" t="s">
        <v>3254</v>
      </c>
      <c r="AD469" s="213"/>
    </row>
    <row r="470" spans="1:30" s="211" customFormat="1" x14ac:dyDescent="0.25">
      <c r="A470" s="211" t="s">
        <v>117</v>
      </c>
      <c r="B470" s="211">
        <v>586</v>
      </c>
      <c r="C470" s="211" t="s">
        <v>325</v>
      </c>
      <c r="D470" s="211">
        <v>191221797</v>
      </c>
      <c r="E470" s="211">
        <v>1040</v>
      </c>
      <c r="G470" s="211">
        <v>1004</v>
      </c>
      <c r="I470" s="211" t="s">
        <v>1580</v>
      </c>
      <c r="J470" s="212" t="s">
        <v>638</v>
      </c>
      <c r="K470" s="211" t="s">
        <v>524</v>
      </c>
      <c r="L470" s="211" t="s">
        <v>1586</v>
      </c>
      <c r="AD470" s="213"/>
    </row>
    <row r="471" spans="1:30" s="211" customFormat="1" x14ac:dyDescent="0.25">
      <c r="A471" s="211" t="s">
        <v>117</v>
      </c>
      <c r="B471" s="211">
        <v>587</v>
      </c>
      <c r="C471" s="211" t="s">
        <v>326</v>
      </c>
      <c r="D471" s="211">
        <v>191580734</v>
      </c>
      <c r="E471" s="211">
        <v>1060</v>
      </c>
      <c r="G471" s="211">
        <v>1004</v>
      </c>
      <c r="I471" s="211" t="s">
        <v>1442</v>
      </c>
      <c r="J471" s="212" t="s">
        <v>638</v>
      </c>
      <c r="K471" s="211" t="s">
        <v>524</v>
      </c>
      <c r="L471" s="211" t="s">
        <v>1465</v>
      </c>
      <c r="AD471" s="213"/>
    </row>
    <row r="472" spans="1:30" s="211" customFormat="1" x14ac:dyDescent="0.25">
      <c r="A472" s="211" t="s">
        <v>117</v>
      </c>
      <c r="B472" s="211">
        <v>587</v>
      </c>
      <c r="C472" s="211" t="s">
        <v>326</v>
      </c>
      <c r="D472" s="211">
        <v>191675365</v>
      </c>
      <c r="E472" s="211">
        <v>1040</v>
      </c>
      <c r="F472" s="211">
        <v>1251</v>
      </c>
      <c r="G472" s="211">
        <v>1004</v>
      </c>
      <c r="I472" s="211" t="s">
        <v>1443</v>
      </c>
      <c r="J472" s="212" t="s">
        <v>638</v>
      </c>
      <c r="K472" s="211" t="s">
        <v>524</v>
      </c>
      <c r="L472" s="211" t="s">
        <v>1466</v>
      </c>
      <c r="AD472" s="213"/>
    </row>
    <row r="473" spans="1:30" s="211" customFormat="1" x14ac:dyDescent="0.25">
      <c r="A473" s="211" t="s">
        <v>117</v>
      </c>
      <c r="B473" s="211">
        <v>587</v>
      </c>
      <c r="C473" s="211" t="s">
        <v>326</v>
      </c>
      <c r="D473" s="211">
        <v>191956575</v>
      </c>
      <c r="E473" s="211">
        <v>1080</v>
      </c>
      <c r="G473" s="211">
        <v>1004</v>
      </c>
      <c r="I473" s="211" t="s">
        <v>1444</v>
      </c>
      <c r="J473" s="212" t="s">
        <v>638</v>
      </c>
      <c r="K473" s="211" t="s">
        <v>524</v>
      </c>
      <c r="L473" s="211" t="s">
        <v>1467</v>
      </c>
      <c r="AD473" s="213"/>
    </row>
    <row r="474" spans="1:30" s="211" customFormat="1" x14ac:dyDescent="0.25">
      <c r="A474" s="211" t="s">
        <v>117</v>
      </c>
      <c r="B474" s="211">
        <v>587</v>
      </c>
      <c r="C474" s="211" t="s">
        <v>326</v>
      </c>
      <c r="D474" s="211">
        <v>191973698</v>
      </c>
      <c r="E474" s="211">
        <v>1060</v>
      </c>
      <c r="F474" s="211">
        <v>1274</v>
      </c>
      <c r="G474" s="211">
        <v>1004</v>
      </c>
      <c r="I474" s="211" t="s">
        <v>1445</v>
      </c>
      <c r="J474" s="212" t="s">
        <v>638</v>
      </c>
      <c r="K474" s="211" t="s">
        <v>524</v>
      </c>
      <c r="L474" s="211" t="s">
        <v>1468</v>
      </c>
      <c r="AD474" s="213"/>
    </row>
    <row r="475" spans="1:30" s="211" customFormat="1" x14ac:dyDescent="0.25">
      <c r="A475" s="211" t="s">
        <v>117</v>
      </c>
      <c r="B475" s="211">
        <v>587</v>
      </c>
      <c r="C475" s="211" t="s">
        <v>326</v>
      </c>
      <c r="D475" s="211">
        <v>192042550</v>
      </c>
      <c r="E475" s="211">
        <v>1060</v>
      </c>
      <c r="F475" s="211">
        <v>1242</v>
      </c>
      <c r="G475" s="211">
        <v>1003</v>
      </c>
      <c r="I475" s="211" t="s">
        <v>2893</v>
      </c>
      <c r="J475" s="212" t="s">
        <v>638</v>
      </c>
      <c r="K475" s="211" t="s">
        <v>639</v>
      </c>
      <c r="L475" s="211" t="s">
        <v>2923</v>
      </c>
      <c r="AD475" s="213"/>
    </row>
    <row r="476" spans="1:30" s="211" customFormat="1" x14ac:dyDescent="0.25">
      <c r="A476" s="211" t="s">
        <v>117</v>
      </c>
      <c r="B476" s="211">
        <v>589</v>
      </c>
      <c r="C476" s="211" t="s">
        <v>328</v>
      </c>
      <c r="D476" s="211">
        <v>1349776</v>
      </c>
      <c r="E476" s="211">
        <v>1030</v>
      </c>
      <c r="F476" s="211">
        <v>1110</v>
      </c>
      <c r="G476" s="211">
        <v>1004</v>
      </c>
      <c r="I476" s="211" t="s">
        <v>1801</v>
      </c>
      <c r="J476" s="212" t="s">
        <v>638</v>
      </c>
      <c r="K476" s="211" t="s">
        <v>639</v>
      </c>
      <c r="L476" s="211" t="s">
        <v>1826</v>
      </c>
      <c r="AD476" s="213"/>
    </row>
    <row r="477" spans="1:30" s="211" customFormat="1" x14ac:dyDescent="0.25">
      <c r="A477" s="211" t="s">
        <v>117</v>
      </c>
      <c r="B477" s="211">
        <v>589</v>
      </c>
      <c r="C477" s="211" t="s">
        <v>328</v>
      </c>
      <c r="D477" s="211">
        <v>191864874</v>
      </c>
      <c r="E477" s="211">
        <v>1080</v>
      </c>
      <c r="F477" s="211">
        <v>1274</v>
      </c>
      <c r="G477" s="211">
        <v>1004</v>
      </c>
      <c r="I477" s="211" t="s">
        <v>1498</v>
      </c>
      <c r="J477" s="212" t="s">
        <v>638</v>
      </c>
      <c r="K477" s="211" t="s">
        <v>524</v>
      </c>
      <c r="L477" s="211" t="s">
        <v>1511</v>
      </c>
      <c r="AD477" s="213"/>
    </row>
    <row r="478" spans="1:30" s="211" customFormat="1" x14ac:dyDescent="0.25">
      <c r="A478" s="211" t="s">
        <v>117</v>
      </c>
      <c r="B478" s="211">
        <v>589</v>
      </c>
      <c r="C478" s="211" t="s">
        <v>328</v>
      </c>
      <c r="D478" s="211">
        <v>191864904</v>
      </c>
      <c r="E478" s="211">
        <v>1080</v>
      </c>
      <c r="F478" s="211">
        <v>1274</v>
      </c>
      <c r="G478" s="211">
        <v>1004</v>
      </c>
      <c r="I478" s="211" t="s">
        <v>1499</v>
      </c>
      <c r="J478" s="212" t="s">
        <v>638</v>
      </c>
      <c r="K478" s="211" t="s">
        <v>524</v>
      </c>
      <c r="L478" s="211" t="s">
        <v>1512</v>
      </c>
      <c r="AD478" s="213"/>
    </row>
    <row r="479" spans="1:30" s="211" customFormat="1" x14ac:dyDescent="0.25">
      <c r="A479" s="211" t="s">
        <v>117</v>
      </c>
      <c r="B479" s="211">
        <v>589</v>
      </c>
      <c r="C479" s="211" t="s">
        <v>328</v>
      </c>
      <c r="D479" s="211">
        <v>191910322</v>
      </c>
      <c r="E479" s="211">
        <v>1060</v>
      </c>
      <c r="F479" s="211">
        <v>1242</v>
      </c>
      <c r="G479" s="211">
        <v>1004</v>
      </c>
      <c r="I479" s="211" t="s">
        <v>1500</v>
      </c>
      <c r="J479" s="212" t="s">
        <v>638</v>
      </c>
      <c r="K479" s="211" t="s">
        <v>524</v>
      </c>
      <c r="L479" s="211" t="s">
        <v>1513</v>
      </c>
      <c r="AD479" s="213"/>
    </row>
    <row r="480" spans="1:30" s="211" customFormat="1" x14ac:dyDescent="0.25">
      <c r="A480" s="211" t="s">
        <v>117</v>
      </c>
      <c r="B480" s="211">
        <v>589</v>
      </c>
      <c r="C480" s="211" t="s">
        <v>328</v>
      </c>
      <c r="D480" s="211">
        <v>191941722</v>
      </c>
      <c r="E480" s="211">
        <v>1040</v>
      </c>
      <c r="F480" s="211">
        <v>1211</v>
      </c>
      <c r="G480" s="211">
        <v>1003</v>
      </c>
      <c r="I480" s="211" t="s">
        <v>1501</v>
      </c>
      <c r="J480" s="212" t="s">
        <v>638</v>
      </c>
      <c r="K480" s="211" t="s">
        <v>639</v>
      </c>
      <c r="L480" s="211" t="s">
        <v>1663</v>
      </c>
      <c r="AD480" s="213"/>
    </row>
    <row r="481" spans="1:30" s="211" customFormat="1" x14ac:dyDescent="0.25">
      <c r="A481" s="211" t="s">
        <v>117</v>
      </c>
      <c r="B481" s="211">
        <v>589</v>
      </c>
      <c r="C481" s="211" t="s">
        <v>328</v>
      </c>
      <c r="D481" s="211">
        <v>191981528</v>
      </c>
      <c r="E481" s="211">
        <v>1020</v>
      </c>
      <c r="F481" s="211">
        <v>1122</v>
      </c>
      <c r="G481" s="211">
        <v>1003</v>
      </c>
      <c r="I481" s="211" t="s">
        <v>1502</v>
      </c>
      <c r="J481" s="212" t="s">
        <v>638</v>
      </c>
      <c r="K481" s="211" t="s">
        <v>639</v>
      </c>
      <c r="L481" s="211" t="s">
        <v>1663</v>
      </c>
      <c r="AD481" s="213"/>
    </row>
    <row r="482" spans="1:30" s="211" customFormat="1" x14ac:dyDescent="0.25">
      <c r="A482" s="211" t="s">
        <v>117</v>
      </c>
      <c r="B482" s="211">
        <v>591</v>
      </c>
      <c r="C482" s="211" t="s">
        <v>330</v>
      </c>
      <c r="D482" s="211">
        <v>191645905</v>
      </c>
      <c r="E482" s="211">
        <v>1060</v>
      </c>
      <c r="F482" s="211">
        <v>1271</v>
      </c>
      <c r="G482" s="211">
        <v>1004</v>
      </c>
      <c r="I482" s="211" t="s">
        <v>1581</v>
      </c>
      <c r="J482" s="212" t="s">
        <v>638</v>
      </c>
      <c r="K482" s="211" t="s">
        <v>524</v>
      </c>
      <c r="L482" s="211" t="s">
        <v>1587</v>
      </c>
      <c r="AD482" s="213"/>
    </row>
    <row r="483" spans="1:30" s="211" customFormat="1" x14ac:dyDescent="0.25">
      <c r="A483" s="211" t="s">
        <v>117</v>
      </c>
      <c r="B483" s="211">
        <v>592</v>
      </c>
      <c r="C483" s="211" t="s">
        <v>331</v>
      </c>
      <c r="D483" s="211">
        <v>191970474</v>
      </c>
      <c r="E483" s="211">
        <v>1060</v>
      </c>
      <c r="F483" s="211">
        <v>1242</v>
      </c>
      <c r="G483" s="211">
        <v>1004</v>
      </c>
      <c r="I483" s="211" t="s">
        <v>1640</v>
      </c>
      <c r="J483" s="212" t="s">
        <v>638</v>
      </c>
      <c r="K483" s="211" t="s">
        <v>524</v>
      </c>
      <c r="L483" s="211" t="s">
        <v>1641</v>
      </c>
      <c r="AD483" s="213"/>
    </row>
    <row r="484" spans="1:30" s="211" customFormat="1" x14ac:dyDescent="0.25">
      <c r="A484" s="211" t="s">
        <v>117</v>
      </c>
      <c r="B484" s="211">
        <v>593</v>
      </c>
      <c r="C484" s="211" t="s">
        <v>332</v>
      </c>
      <c r="D484" s="211">
        <v>1351888</v>
      </c>
      <c r="E484" s="211">
        <v>1030</v>
      </c>
      <c r="F484" s="211">
        <v>1121</v>
      </c>
      <c r="G484" s="211">
        <v>1004</v>
      </c>
      <c r="I484" s="211" t="s">
        <v>1446</v>
      </c>
      <c r="J484" s="212" t="s">
        <v>638</v>
      </c>
      <c r="K484" s="211" t="s">
        <v>639</v>
      </c>
      <c r="L484" s="211" t="s">
        <v>1479</v>
      </c>
      <c r="AD484" s="213"/>
    </row>
    <row r="485" spans="1:30" s="211" customFormat="1" x14ac:dyDescent="0.25">
      <c r="A485" s="211" t="s">
        <v>117</v>
      </c>
      <c r="B485" s="211">
        <v>593</v>
      </c>
      <c r="C485" s="211" t="s">
        <v>332</v>
      </c>
      <c r="D485" s="211">
        <v>191975194</v>
      </c>
      <c r="E485" s="211">
        <v>1060</v>
      </c>
      <c r="F485" s="211">
        <v>1242</v>
      </c>
      <c r="G485" s="211">
        <v>1004</v>
      </c>
      <c r="I485" s="211" t="s">
        <v>1447</v>
      </c>
      <c r="J485" s="212" t="s">
        <v>638</v>
      </c>
      <c r="K485" s="211" t="s">
        <v>639</v>
      </c>
      <c r="L485" s="211" t="s">
        <v>1480</v>
      </c>
      <c r="AD485" s="213"/>
    </row>
    <row r="486" spans="1:30" s="211" customFormat="1" x14ac:dyDescent="0.25">
      <c r="A486" s="211" t="s">
        <v>117</v>
      </c>
      <c r="B486" s="211">
        <v>593</v>
      </c>
      <c r="C486" s="211" t="s">
        <v>332</v>
      </c>
      <c r="D486" s="211">
        <v>192011076</v>
      </c>
      <c r="E486" s="211">
        <v>1060</v>
      </c>
      <c r="F486" s="211">
        <v>1242</v>
      </c>
      <c r="G486" s="211">
        <v>1003</v>
      </c>
      <c r="I486" s="211" t="s">
        <v>2394</v>
      </c>
      <c r="J486" s="212" t="s">
        <v>638</v>
      </c>
      <c r="K486" s="211" t="s">
        <v>639</v>
      </c>
      <c r="L486" s="211" t="s">
        <v>2884</v>
      </c>
      <c r="AD486" s="213"/>
    </row>
    <row r="487" spans="1:30" s="211" customFormat="1" x14ac:dyDescent="0.25">
      <c r="A487" s="211" t="s">
        <v>117</v>
      </c>
      <c r="B487" s="211">
        <v>593</v>
      </c>
      <c r="C487" s="211" t="s">
        <v>332</v>
      </c>
      <c r="D487" s="211">
        <v>192049196</v>
      </c>
      <c r="E487" s="211">
        <v>1060</v>
      </c>
      <c r="F487" s="211">
        <v>1274</v>
      </c>
      <c r="G487" s="211">
        <v>1004</v>
      </c>
      <c r="I487" s="211" t="s">
        <v>3284</v>
      </c>
      <c r="J487" s="212" t="s">
        <v>638</v>
      </c>
      <c r="K487" s="211" t="s">
        <v>524</v>
      </c>
      <c r="L487" s="211" t="s">
        <v>3337</v>
      </c>
      <c r="AD487" s="213"/>
    </row>
    <row r="488" spans="1:30" s="211" customFormat="1" x14ac:dyDescent="0.25">
      <c r="A488" s="211" t="s">
        <v>117</v>
      </c>
      <c r="B488" s="211">
        <v>594</v>
      </c>
      <c r="C488" s="211" t="s">
        <v>333</v>
      </c>
      <c r="D488" s="211">
        <v>191963573</v>
      </c>
      <c r="E488" s="211">
        <v>1080</v>
      </c>
      <c r="F488" s="211">
        <v>1242</v>
      </c>
      <c r="G488" s="211">
        <v>1004</v>
      </c>
      <c r="I488" s="211" t="s">
        <v>1329</v>
      </c>
      <c r="J488" s="212" t="s">
        <v>638</v>
      </c>
      <c r="K488" s="211" t="s">
        <v>639</v>
      </c>
      <c r="L488" s="211" t="s">
        <v>2066</v>
      </c>
      <c r="AD488" s="213"/>
    </row>
    <row r="489" spans="1:30" s="211" customFormat="1" x14ac:dyDescent="0.25">
      <c r="A489" s="211" t="s">
        <v>117</v>
      </c>
      <c r="B489" s="211">
        <v>594</v>
      </c>
      <c r="C489" s="211" t="s">
        <v>333</v>
      </c>
      <c r="D489" s="211">
        <v>192049956</v>
      </c>
      <c r="E489" s="211">
        <v>1080</v>
      </c>
      <c r="F489" s="211">
        <v>1242</v>
      </c>
      <c r="G489" s="211">
        <v>1004</v>
      </c>
      <c r="I489" s="211" t="s">
        <v>3375</v>
      </c>
      <c r="J489" s="212" t="s">
        <v>638</v>
      </c>
      <c r="K489" s="211" t="s">
        <v>524</v>
      </c>
      <c r="L489" s="211" t="s">
        <v>3415</v>
      </c>
      <c r="AD489" s="213"/>
    </row>
    <row r="490" spans="1:30" s="211" customFormat="1" x14ac:dyDescent="0.25">
      <c r="A490" s="211" t="s">
        <v>117</v>
      </c>
      <c r="B490" s="211">
        <v>594</v>
      </c>
      <c r="C490" s="211" t="s">
        <v>333</v>
      </c>
      <c r="D490" s="211">
        <v>502064855</v>
      </c>
      <c r="E490" s="211">
        <v>1060</v>
      </c>
      <c r="G490" s="211">
        <v>1004</v>
      </c>
      <c r="I490" s="211" t="s">
        <v>2713</v>
      </c>
      <c r="J490" s="212" t="s">
        <v>638</v>
      </c>
      <c r="K490" s="211" t="s">
        <v>524</v>
      </c>
      <c r="L490" s="211" t="s">
        <v>2735</v>
      </c>
      <c r="AD490" s="213"/>
    </row>
    <row r="491" spans="1:30" s="211" customFormat="1" x14ac:dyDescent="0.25">
      <c r="A491" s="211" t="s">
        <v>117</v>
      </c>
      <c r="B491" s="211">
        <v>594</v>
      </c>
      <c r="C491" s="211" t="s">
        <v>333</v>
      </c>
      <c r="D491" s="211">
        <v>502064856</v>
      </c>
      <c r="E491" s="211">
        <v>1060</v>
      </c>
      <c r="G491" s="211">
        <v>1004</v>
      </c>
      <c r="I491" s="211" t="s">
        <v>2714</v>
      </c>
      <c r="J491" s="212" t="s">
        <v>638</v>
      </c>
      <c r="K491" s="211" t="s">
        <v>524</v>
      </c>
      <c r="L491" s="211" t="s">
        <v>2736</v>
      </c>
      <c r="AD491" s="213"/>
    </row>
    <row r="492" spans="1:30" s="211" customFormat="1" x14ac:dyDescent="0.25">
      <c r="A492" s="211" t="s">
        <v>117</v>
      </c>
      <c r="B492" s="211">
        <v>594</v>
      </c>
      <c r="C492" s="211" t="s">
        <v>333</v>
      </c>
      <c r="D492" s="211">
        <v>502064857</v>
      </c>
      <c r="E492" s="211">
        <v>1060</v>
      </c>
      <c r="F492" s="211">
        <v>1271</v>
      </c>
      <c r="G492" s="211">
        <v>1004</v>
      </c>
      <c r="I492" s="211" t="s">
        <v>2715</v>
      </c>
      <c r="J492" s="212" t="s">
        <v>638</v>
      </c>
      <c r="K492" s="211" t="s">
        <v>524</v>
      </c>
      <c r="L492" s="211" t="s">
        <v>2737</v>
      </c>
      <c r="AD492" s="213"/>
    </row>
    <row r="493" spans="1:30" s="211" customFormat="1" x14ac:dyDescent="0.25">
      <c r="A493" s="211" t="s">
        <v>117</v>
      </c>
      <c r="B493" s="211">
        <v>602</v>
      </c>
      <c r="C493" s="211" t="s">
        <v>334</v>
      </c>
      <c r="D493" s="211">
        <v>192000709</v>
      </c>
      <c r="E493" s="211">
        <v>1080</v>
      </c>
      <c r="F493" s="211">
        <v>1242</v>
      </c>
      <c r="G493" s="211">
        <v>1004</v>
      </c>
      <c r="I493" s="211" t="s">
        <v>1553</v>
      </c>
      <c r="J493" s="212" t="s">
        <v>638</v>
      </c>
      <c r="K493" s="211" t="s">
        <v>639</v>
      </c>
      <c r="L493" s="211" t="s">
        <v>1577</v>
      </c>
      <c r="AD493" s="213"/>
    </row>
    <row r="494" spans="1:30" s="211" customFormat="1" x14ac:dyDescent="0.25">
      <c r="A494" s="211" t="s">
        <v>117</v>
      </c>
      <c r="B494" s="211">
        <v>603</v>
      </c>
      <c r="C494" s="211" t="s">
        <v>335</v>
      </c>
      <c r="D494" s="211">
        <v>1353487</v>
      </c>
      <c r="E494" s="211">
        <v>1020</v>
      </c>
      <c r="F494" s="211">
        <v>1110</v>
      </c>
      <c r="G494" s="211">
        <v>1004</v>
      </c>
      <c r="I494" s="211" t="s">
        <v>2716</v>
      </c>
      <c r="J494" s="212" t="s">
        <v>638</v>
      </c>
      <c r="K494" s="211" t="s">
        <v>524</v>
      </c>
      <c r="L494" s="211" t="s">
        <v>2738</v>
      </c>
      <c r="AD494" s="213"/>
    </row>
    <row r="495" spans="1:30" s="211" customFormat="1" x14ac:dyDescent="0.25">
      <c r="A495" s="211" t="s">
        <v>117</v>
      </c>
      <c r="B495" s="211">
        <v>606</v>
      </c>
      <c r="C495" s="211" t="s">
        <v>337</v>
      </c>
      <c r="D495" s="211">
        <v>191987866</v>
      </c>
      <c r="E495" s="211">
        <v>1060</v>
      </c>
      <c r="F495" s="211">
        <v>1242</v>
      </c>
      <c r="G495" s="211">
        <v>1004</v>
      </c>
      <c r="I495" s="211" t="s">
        <v>2194</v>
      </c>
      <c r="J495" s="212" t="s">
        <v>638</v>
      </c>
      <c r="K495" s="211" t="s">
        <v>524</v>
      </c>
      <c r="L495" s="211" t="s">
        <v>2205</v>
      </c>
      <c r="AD495" s="213"/>
    </row>
    <row r="496" spans="1:30" s="211" customFormat="1" x14ac:dyDescent="0.25">
      <c r="A496" s="211" t="s">
        <v>117</v>
      </c>
      <c r="B496" s="211">
        <v>606</v>
      </c>
      <c r="C496" s="211" t="s">
        <v>337</v>
      </c>
      <c r="D496" s="211">
        <v>191987883</v>
      </c>
      <c r="E496" s="211">
        <v>1060</v>
      </c>
      <c r="F496" s="211">
        <v>1271</v>
      </c>
      <c r="G496" s="211">
        <v>1004</v>
      </c>
      <c r="I496" s="211" t="s">
        <v>2949</v>
      </c>
      <c r="J496" s="212" t="s">
        <v>638</v>
      </c>
      <c r="K496" s="211" t="s">
        <v>524</v>
      </c>
      <c r="L496" s="211" t="s">
        <v>2974</v>
      </c>
      <c r="AD496" s="213"/>
    </row>
    <row r="497" spans="1:30" s="211" customFormat="1" x14ac:dyDescent="0.25">
      <c r="A497" s="211" t="s">
        <v>117</v>
      </c>
      <c r="B497" s="211">
        <v>606</v>
      </c>
      <c r="C497" s="211" t="s">
        <v>337</v>
      </c>
      <c r="D497" s="211">
        <v>192014440</v>
      </c>
      <c r="E497" s="211">
        <v>1060</v>
      </c>
      <c r="F497" s="211">
        <v>1271</v>
      </c>
      <c r="G497" s="211">
        <v>1004</v>
      </c>
      <c r="I497" s="211" t="s">
        <v>1774</v>
      </c>
      <c r="J497" s="212" t="s">
        <v>638</v>
      </c>
      <c r="K497" s="211" t="s">
        <v>524</v>
      </c>
      <c r="L497" s="211" t="s">
        <v>1778</v>
      </c>
      <c r="AD497" s="213"/>
    </row>
    <row r="498" spans="1:30" s="211" customFormat="1" x14ac:dyDescent="0.25">
      <c r="A498" s="211" t="s">
        <v>117</v>
      </c>
      <c r="B498" s="211">
        <v>609</v>
      </c>
      <c r="C498" s="211" t="s">
        <v>340</v>
      </c>
      <c r="D498" s="211">
        <v>191951844</v>
      </c>
      <c r="E498" s="211">
        <v>1060</v>
      </c>
      <c r="F498" s="211">
        <v>1271</v>
      </c>
      <c r="G498" s="211">
        <v>1004</v>
      </c>
      <c r="I498" s="211" t="s">
        <v>1484</v>
      </c>
      <c r="J498" s="212" t="s">
        <v>638</v>
      </c>
      <c r="K498" s="211" t="s">
        <v>639</v>
      </c>
      <c r="L498" s="211" t="s">
        <v>1486</v>
      </c>
      <c r="AD498" s="213"/>
    </row>
    <row r="499" spans="1:30" s="211" customFormat="1" x14ac:dyDescent="0.25">
      <c r="A499" s="211" t="s">
        <v>117</v>
      </c>
      <c r="B499" s="211">
        <v>611</v>
      </c>
      <c r="C499" s="211" t="s">
        <v>342</v>
      </c>
      <c r="D499" s="211">
        <v>9052298</v>
      </c>
      <c r="E499" s="211">
        <v>1080</v>
      </c>
      <c r="G499" s="211">
        <v>1004</v>
      </c>
      <c r="I499" s="211" t="s">
        <v>1986</v>
      </c>
      <c r="J499" s="212" t="s">
        <v>638</v>
      </c>
      <c r="K499" s="211" t="s">
        <v>524</v>
      </c>
      <c r="L499" s="211" t="s">
        <v>2016</v>
      </c>
      <c r="AD499" s="213"/>
    </row>
    <row r="500" spans="1:30" s="211" customFormat="1" x14ac:dyDescent="0.25">
      <c r="A500" s="211" t="s">
        <v>117</v>
      </c>
      <c r="B500" s="211">
        <v>614</v>
      </c>
      <c r="C500" s="211" t="s">
        <v>345</v>
      </c>
      <c r="D500" s="211">
        <v>191957196</v>
      </c>
      <c r="E500" s="211">
        <v>1060</v>
      </c>
      <c r="F500" s="211">
        <v>1271</v>
      </c>
      <c r="G500" s="211">
        <v>1003</v>
      </c>
      <c r="I500" s="211" t="s">
        <v>1602</v>
      </c>
      <c r="J500" s="212" t="s">
        <v>638</v>
      </c>
      <c r="K500" s="211" t="s">
        <v>524</v>
      </c>
      <c r="L500" s="211" t="s">
        <v>1611</v>
      </c>
      <c r="AD500" s="213"/>
    </row>
    <row r="501" spans="1:30" s="211" customFormat="1" x14ac:dyDescent="0.25">
      <c r="A501" s="211" t="s">
        <v>117</v>
      </c>
      <c r="B501" s="211">
        <v>616</v>
      </c>
      <c r="C501" s="211" t="s">
        <v>347</v>
      </c>
      <c r="D501" s="211">
        <v>1358857</v>
      </c>
      <c r="E501" s="211">
        <v>1020</v>
      </c>
      <c r="F501" s="211">
        <v>1121</v>
      </c>
      <c r="G501" s="211">
        <v>1004</v>
      </c>
      <c r="I501" s="211" t="s">
        <v>2372</v>
      </c>
      <c r="J501" s="212" t="s">
        <v>638</v>
      </c>
      <c r="K501" s="211" t="s">
        <v>639</v>
      </c>
      <c r="L501" s="211" t="s">
        <v>2392</v>
      </c>
      <c r="AD501" s="213"/>
    </row>
    <row r="502" spans="1:30" s="211" customFormat="1" x14ac:dyDescent="0.25">
      <c r="A502" s="211" t="s">
        <v>117</v>
      </c>
      <c r="B502" s="211">
        <v>616</v>
      </c>
      <c r="C502" s="211" t="s">
        <v>347</v>
      </c>
      <c r="D502" s="211">
        <v>1359206</v>
      </c>
      <c r="E502" s="211">
        <v>1020</v>
      </c>
      <c r="F502" s="211">
        <v>1110</v>
      </c>
      <c r="G502" s="211">
        <v>1004</v>
      </c>
      <c r="I502" s="211" t="s">
        <v>2582</v>
      </c>
      <c r="J502" s="212" t="s">
        <v>638</v>
      </c>
      <c r="K502" s="211" t="s">
        <v>639</v>
      </c>
      <c r="L502" s="211" t="s">
        <v>2591</v>
      </c>
      <c r="AD502" s="213"/>
    </row>
    <row r="503" spans="1:30" s="211" customFormat="1" x14ac:dyDescent="0.25">
      <c r="A503" s="211" t="s">
        <v>117</v>
      </c>
      <c r="B503" s="211">
        <v>616</v>
      </c>
      <c r="C503" s="211" t="s">
        <v>347</v>
      </c>
      <c r="D503" s="211">
        <v>191871958</v>
      </c>
      <c r="E503" s="211">
        <v>1060</v>
      </c>
      <c r="F503" s="211">
        <v>1242</v>
      </c>
      <c r="G503" s="211">
        <v>1004</v>
      </c>
      <c r="I503" s="211" t="s">
        <v>720</v>
      </c>
      <c r="J503" s="212" t="s">
        <v>638</v>
      </c>
      <c r="K503" s="211" t="s">
        <v>524</v>
      </c>
      <c r="L503" s="211" t="s">
        <v>886</v>
      </c>
      <c r="AD503" s="213"/>
    </row>
    <row r="504" spans="1:30" s="211" customFormat="1" x14ac:dyDescent="0.25">
      <c r="A504" s="211" t="s">
        <v>117</v>
      </c>
      <c r="B504" s="211">
        <v>616</v>
      </c>
      <c r="C504" s="211" t="s">
        <v>347</v>
      </c>
      <c r="D504" s="211">
        <v>191957710</v>
      </c>
      <c r="E504" s="211">
        <v>1060</v>
      </c>
      <c r="F504" s="211">
        <v>1252</v>
      </c>
      <c r="G504" s="211">
        <v>1004</v>
      </c>
      <c r="I504" s="211" t="s">
        <v>1431</v>
      </c>
      <c r="J504" s="212" t="s">
        <v>638</v>
      </c>
      <c r="K504" s="211" t="s">
        <v>524</v>
      </c>
      <c r="L504" s="211" t="s">
        <v>1432</v>
      </c>
      <c r="AD504" s="213"/>
    </row>
    <row r="505" spans="1:30" s="211" customFormat="1" x14ac:dyDescent="0.25">
      <c r="A505" s="211" t="s">
        <v>117</v>
      </c>
      <c r="B505" s="211">
        <v>616</v>
      </c>
      <c r="C505" s="211" t="s">
        <v>347</v>
      </c>
      <c r="D505" s="211">
        <v>192027750</v>
      </c>
      <c r="E505" s="211">
        <v>1060</v>
      </c>
      <c r="F505" s="211">
        <v>1272</v>
      </c>
      <c r="G505" s="211">
        <v>1004</v>
      </c>
      <c r="I505" s="211" t="s">
        <v>2291</v>
      </c>
      <c r="J505" s="212" t="s">
        <v>638</v>
      </c>
      <c r="K505" s="211" t="s">
        <v>639</v>
      </c>
      <c r="L505" s="211" t="s">
        <v>2316</v>
      </c>
      <c r="AD505" s="213"/>
    </row>
    <row r="506" spans="1:30" s="211" customFormat="1" x14ac:dyDescent="0.25">
      <c r="A506" s="211" t="s">
        <v>117</v>
      </c>
      <c r="B506" s="211">
        <v>616</v>
      </c>
      <c r="C506" s="211" t="s">
        <v>347</v>
      </c>
      <c r="D506" s="211">
        <v>192042858</v>
      </c>
      <c r="E506" s="211">
        <v>1060</v>
      </c>
      <c r="F506" s="211">
        <v>1274</v>
      </c>
      <c r="G506" s="211">
        <v>1004</v>
      </c>
      <c r="I506" s="211" t="s">
        <v>2894</v>
      </c>
      <c r="J506" s="212" t="s">
        <v>638</v>
      </c>
      <c r="K506" s="211" t="s">
        <v>524</v>
      </c>
      <c r="L506" s="211" t="s">
        <v>2915</v>
      </c>
      <c r="AD506" s="213"/>
    </row>
    <row r="507" spans="1:30" s="211" customFormat="1" x14ac:dyDescent="0.25">
      <c r="A507" s="211" t="s">
        <v>117</v>
      </c>
      <c r="B507" s="211">
        <v>616</v>
      </c>
      <c r="C507" s="211" t="s">
        <v>347</v>
      </c>
      <c r="D507" s="211">
        <v>192042866</v>
      </c>
      <c r="E507" s="211">
        <v>1060</v>
      </c>
      <c r="F507" s="211">
        <v>1242</v>
      </c>
      <c r="G507" s="211">
        <v>1004</v>
      </c>
      <c r="I507" s="211" t="s">
        <v>2895</v>
      </c>
      <c r="J507" s="212" t="s">
        <v>638</v>
      </c>
      <c r="K507" s="211" t="s">
        <v>524</v>
      </c>
      <c r="L507" s="211" t="s">
        <v>2916</v>
      </c>
      <c r="AD507" s="213"/>
    </row>
    <row r="508" spans="1:30" s="211" customFormat="1" x14ac:dyDescent="0.25">
      <c r="A508" s="211" t="s">
        <v>117</v>
      </c>
      <c r="B508" s="211">
        <v>616</v>
      </c>
      <c r="C508" s="211" t="s">
        <v>347</v>
      </c>
      <c r="D508" s="211">
        <v>192042868</v>
      </c>
      <c r="E508" s="211">
        <v>1060</v>
      </c>
      <c r="F508" s="211">
        <v>1242</v>
      </c>
      <c r="G508" s="211">
        <v>1004</v>
      </c>
      <c r="I508" s="211" t="s">
        <v>2896</v>
      </c>
      <c r="J508" s="212" t="s">
        <v>638</v>
      </c>
      <c r="K508" s="211" t="s">
        <v>524</v>
      </c>
      <c r="L508" s="211" t="s">
        <v>2917</v>
      </c>
      <c r="AD508" s="213"/>
    </row>
    <row r="509" spans="1:30" s="211" customFormat="1" x14ac:dyDescent="0.25">
      <c r="A509" s="211" t="s">
        <v>117</v>
      </c>
      <c r="B509" s="211">
        <v>616</v>
      </c>
      <c r="C509" s="211" t="s">
        <v>347</v>
      </c>
      <c r="D509" s="211">
        <v>192042872</v>
      </c>
      <c r="E509" s="211">
        <v>1060</v>
      </c>
      <c r="F509" s="211">
        <v>1242</v>
      </c>
      <c r="G509" s="211">
        <v>1004</v>
      </c>
      <c r="I509" s="211" t="s">
        <v>2897</v>
      </c>
      <c r="J509" s="212" t="s">
        <v>638</v>
      </c>
      <c r="K509" s="211" t="s">
        <v>524</v>
      </c>
      <c r="L509" s="211" t="s">
        <v>2918</v>
      </c>
      <c r="AD509" s="213"/>
    </row>
    <row r="510" spans="1:30" s="211" customFormat="1" x14ac:dyDescent="0.25">
      <c r="A510" s="211" t="s">
        <v>117</v>
      </c>
      <c r="B510" s="211">
        <v>616</v>
      </c>
      <c r="C510" s="211" t="s">
        <v>347</v>
      </c>
      <c r="D510" s="211">
        <v>192042944</v>
      </c>
      <c r="E510" s="211">
        <v>1060</v>
      </c>
      <c r="F510" s="211">
        <v>1274</v>
      </c>
      <c r="G510" s="211">
        <v>1004</v>
      </c>
      <c r="I510" s="211" t="s">
        <v>2898</v>
      </c>
      <c r="J510" s="212" t="s">
        <v>638</v>
      </c>
      <c r="K510" s="211" t="s">
        <v>524</v>
      </c>
      <c r="L510" s="211" t="s">
        <v>2919</v>
      </c>
      <c r="AD510" s="213"/>
    </row>
    <row r="511" spans="1:30" s="211" customFormat="1" x14ac:dyDescent="0.25">
      <c r="A511" s="211" t="s">
        <v>117</v>
      </c>
      <c r="B511" s="211">
        <v>616</v>
      </c>
      <c r="C511" s="211" t="s">
        <v>347</v>
      </c>
      <c r="D511" s="211">
        <v>504069999</v>
      </c>
      <c r="E511" s="211">
        <v>1060</v>
      </c>
      <c r="F511" s="211">
        <v>1242</v>
      </c>
      <c r="G511" s="211">
        <v>1004</v>
      </c>
      <c r="I511" s="211" t="s">
        <v>2373</v>
      </c>
      <c r="J511" s="212" t="s">
        <v>638</v>
      </c>
      <c r="K511" s="211" t="s">
        <v>524</v>
      </c>
      <c r="L511" s="211" t="s">
        <v>2382</v>
      </c>
      <c r="AD511" s="213"/>
    </row>
    <row r="512" spans="1:30" s="211" customFormat="1" x14ac:dyDescent="0.25">
      <c r="A512" s="211" t="s">
        <v>117</v>
      </c>
      <c r="B512" s="211">
        <v>616</v>
      </c>
      <c r="C512" s="211" t="s">
        <v>347</v>
      </c>
      <c r="D512" s="211">
        <v>504070010</v>
      </c>
      <c r="E512" s="211">
        <v>1060</v>
      </c>
      <c r="F512" s="211">
        <v>1230</v>
      </c>
      <c r="G512" s="211">
        <v>1004</v>
      </c>
      <c r="I512" s="211" t="s">
        <v>2646</v>
      </c>
      <c r="J512" s="212" t="s">
        <v>638</v>
      </c>
      <c r="K512" s="211" t="s">
        <v>639</v>
      </c>
      <c r="L512" s="211" t="s">
        <v>2669</v>
      </c>
      <c r="AD512" s="213"/>
    </row>
    <row r="513" spans="1:30" s="211" customFormat="1" x14ac:dyDescent="0.25">
      <c r="A513" s="211" t="s">
        <v>117</v>
      </c>
      <c r="B513" s="211">
        <v>617</v>
      </c>
      <c r="C513" s="211" t="s">
        <v>348</v>
      </c>
      <c r="D513" s="211">
        <v>191960997</v>
      </c>
      <c r="E513" s="211">
        <v>1060</v>
      </c>
      <c r="F513" s="211">
        <v>1271</v>
      </c>
      <c r="G513" s="211">
        <v>1004</v>
      </c>
      <c r="I513" s="211" t="s">
        <v>2195</v>
      </c>
      <c r="J513" s="212" t="s">
        <v>638</v>
      </c>
      <c r="K513" s="211" t="s">
        <v>524</v>
      </c>
      <c r="L513" s="211" t="s">
        <v>3579</v>
      </c>
      <c r="AD513" s="213"/>
    </row>
    <row r="514" spans="1:30" s="211" customFormat="1" x14ac:dyDescent="0.25">
      <c r="A514" s="211" t="s">
        <v>117</v>
      </c>
      <c r="B514" s="211">
        <v>619</v>
      </c>
      <c r="C514" s="211" t="s">
        <v>349</v>
      </c>
      <c r="D514" s="211">
        <v>191999868</v>
      </c>
      <c r="E514" s="211">
        <v>1060</v>
      </c>
      <c r="F514" s="211">
        <v>1271</v>
      </c>
      <c r="G514" s="211">
        <v>1004</v>
      </c>
      <c r="I514" s="211" t="s">
        <v>1518</v>
      </c>
      <c r="J514" s="212" t="s">
        <v>638</v>
      </c>
      <c r="K514" s="211" t="s">
        <v>524</v>
      </c>
      <c r="L514" s="211" t="s">
        <v>1533</v>
      </c>
      <c r="AD514" s="213"/>
    </row>
    <row r="515" spans="1:30" s="211" customFormat="1" x14ac:dyDescent="0.25">
      <c r="A515" s="211" t="s">
        <v>117</v>
      </c>
      <c r="B515" s="211">
        <v>619</v>
      </c>
      <c r="C515" s="211" t="s">
        <v>349</v>
      </c>
      <c r="D515" s="211">
        <v>504041244</v>
      </c>
      <c r="E515" s="211">
        <v>1060</v>
      </c>
      <c r="F515" s="211">
        <v>1271</v>
      </c>
      <c r="G515" s="211">
        <v>1004</v>
      </c>
      <c r="I515" s="211" t="s">
        <v>3026</v>
      </c>
      <c r="J515" s="212" t="s">
        <v>638</v>
      </c>
      <c r="K515" s="211" t="s">
        <v>524</v>
      </c>
      <c r="L515" s="211" t="s">
        <v>3109</v>
      </c>
      <c r="AD515" s="213"/>
    </row>
    <row r="516" spans="1:30" s="211" customFormat="1" x14ac:dyDescent="0.25">
      <c r="A516" s="211" t="s">
        <v>117</v>
      </c>
      <c r="B516" s="211">
        <v>619</v>
      </c>
      <c r="C516" s="211" t="s">
        <v>349</v>
      </c>
      <c r="D516" s="211">
        <v>504041526</v>
      </c>
      <c r="E516" s="211">
        <v>1060</v>
      </c>
      <c r="F516" s="211">
        <v>1271</v>
      </c>
      <c r="G516" s="211">
        <v>1004</v>
      </c>
      <c r="I516" s="211" t="s">
        <v>2849</v>
      </c>
      <c r="J516" s="212" t="s">
        <v>638</v>
      </c>
      <c r="K516" s="211" t="s">
        <v>639</v>
      </c>
      <c r="L516" s="211" t="s">
        <v>2885</v>
      </c>
      <c r="AD516" s="213"/>
    </row>
    <row r="517" spans="1:30" s="211" customFormat="1" x14ac:dyDescent="0.25">
      <c r="A517" s="211" t="s">
        <v>117</v>
      </c>
      <c r="B517" s="211">
        <v>619</v>
      </c>
      <c r="C517" s="211" t="s">
        <v>349</v>
      </c>
      <c r="D517" s="211">
        <v>504041527</v>
      </c>
      <c r="E517" s="211">
        <v>1060</v>
      </c>
      <c r="F517" s="211">
        <v>1271</v>
      </c>
      <c r="G517" s="211">
        <v>1004</v>
      </c>
      <c r="I517" s="211" t="s">
        <v>2850</v>
      </c>
      <c r="J517" s="212" t="s">
        <v>638</v>
      </c>
      <c r="K517" s="211" t="s">
        <v>639</v>
      </c>
      <c r="L517" s="211" t="s">
        <v>2885</v>
      </c>
      <c r="AD517" s="213"/>
    </row>
    <row r="518" spans="1:30" s="211" customFormat="1" x14ac:dyDescent="0.25">
      <c r="A518" s="211" t="s">
        <v>117</v>
      </c>
      <c r="B518" s="211">
        <v>619</v>
      </c>
      <c r="C518" s="211" t="s">
        <v>349</v>
      </c>
      <c r="D518" s="211">
        <v>504041529</v>
      </c>
      <c r="E518" s="211">
        <v>1060</v>
      </c>
      <c r="F518" s="211">
        <v>1271</v>
      </c>
      <c r="G518" s="211">
        <v>1004</v>
      </c>
      <c r="I518" s="211" t="s">
        <v>2851</v>
      </c>
      <c r="J518" s="212" t="s">
        <v>638</v>
      </c>
      <c r="K518" s="211" t="s">
        <v>524</v>
      </c>
      <c r="L518" s="211" t="s">
        <v>2874</v>
      </c>
      <c r="AD518" s="213"/>
    </row>
    <row r="519" spans="1:30" s="211" customFormat="1" x14ac:dyDescent="0.25">
      <c r="A519" s="211" t="s">
        <v>117</v>
      </c>
      <c r="B519" s="211">
        <v>620</v>
      </c>
      <c r="C519" s="211" t="s">
        <v>350</v>
      </c>
      <c r="D519" s="211">
        <v>191956954</v>
      </c>
      <c r="E519" s="211">
        <v>1060</v>
      </c>
      <c r="F519" s="211">
        <v>1252</v>
      </c>
      <c r="G519" s="211">
        <v>1004</v>
      </c>
      <c r="I519" s="211" t="s">
        <v>952</v>
      </c>
      <c r="J519" s="212" t="s">
        <v>638</v>
      </c>
      <c r="K519" s="211" t="s">
        <v>524</v>
      </c>
      <c r="L519" s="211" t="s">
        <v>954</v>
      </c>
      <c r="AD519" s="213"/>
    </row>
    <row r="520" spans="1:30" s="211" customFormat="1" x14ac:dyDescent="0.25">
      <c r="A520" s="211" t="s">
        <v>117</v>
      </c>
      <c r="B520" s="211">
        <v>620</v>
      </c>
      <c r="C520" s="211" t="s">
        <v>350</v>
      </c>
      <c r="D520" s="211">
        <v>191963322</v>
      </c>
      <c r="E520" s="211">
        <v>1060</v>
      </c>
      <c r="F520" s="211">
        <v>1271</v>
      </c>
      <c r="G520" s="211">
        <v>1004</v>
      </c>
      <c r="I520" s="211" t="s">
        <v>2196</v>
      </c>
      <c r="J520" s="212" t="s">
        <v>638</v>
      </c>
      <c r="K520" s="211" t="s">
        <v>524</v>
      </c>
      <c r="L520" s="211" t="s">
        <v>2206</v>
      </c>
      <c r="AD520" s="213"/>
    </row>
    <row r="521" spans="1:30" s="211" customFormat="1" x14ac:dyDescent="0.25">
      <c r="A521" s="211" t="s">
        <v>117</v>
      </c>
      <c r="B521" s="211">
        <v>620</v>
      </c>
      <c r="C521" s="211" t="s">
        <v>350</v>
      </c>
      <c r="D521" s="211">
        <v>191963334</v>
      </c>
      <c r="E521" s="211">
        <v>1060</v>
      </c>
      <c r="F521" s="211">
        <v>1271</v>
      </c>
      <c r="G521" s="211">
        <v>1004</v>
      </c>
      <c r="I521" s="211" t="s">
        <v>721</v>
      </c>
      <c r="J521" s="212" t="s">
        <v>638</v>
      </c>
      <c r="K521" s="211" t="s">
        <v>524</v>
      </c>
      <c r="L521" s="211" t="s">
        <v>887</v>
      </c>
      <c r="AD521" s="213"/>
    </row>
    <row r="522" spans="1:30" s="211" customFormat="1" x14ac:dyDescent="0.25">
      <c r="A522" s="211" t="s">
        <v>117</v>
      </c>
      <c r="B522" s="211">
        <v>622</v>
      </c>
      <c r="C522" s="211" t="s">
        <v>351</v>
      </c>
      <c r="D522" s="211">
        <v>191942645</v>
      </c>
      <c r="E522" s="211">
        <v>1020</v>
      </c>
      <c r="F522" s="211">
        <v>1110</v>
      </c>
      <c r="G522" s="211">
        <v>1004</v>
      </c>
      <c r="I522" s="211" t="s">
        <v>722</v>
      </c>
      <c r="J522" s="212" t="s">
        <v>638</v>
      </c>
      <c r="K522" s="211" t="s">
        <v>524</v>
      </c>
      <c r="L522" s="211" t="s">
        <v>888</v>
      </c>
      <c r="AD522" s="213"/>
    </row>
    <row r="523" spans="1:30" s="211" customFormat="1" x14ac:dyDescent="0.25">
      <c r="A523" s="211" t="s">
        <v>117</v>
      </c>
      <c r="B523" s="211">
        <v>623</v>
      </c>
      <c r="C523" s="211" t="s">
        <v>352</v>
      </c>
      <c r="D523" s="211">
        <v>1361514</v>
      </c>
      <c r="E523" s="211">
        <v>1040</v>
      </c>
      <c r="F523" s="211">
        <v>1130</v>
      </c>
      <c r="G523" s="211">
        <v>1004</v>
      </c>
      <c r="I523" s="211" t="s">
        <v>793</v>
      </c>
      <c r="J523" s="212" t="s">
        <v>638</v>
      </c>
      <c r="K523" s="211" t="s">
        <v>524</v>
      </c>
      <c r="L523" s="211" t="s">
        <v>889</v>
      </c>
      <c r="AD523" s="213"/>
    </row>
    <row r="524" spans="1:30" s="211" customFormat="1" x14ac:dyDescent="0.25">
      <c r="A524" s="211" t="s">
        <v>117</v>
      </c>
      <c r="B524" s="211">
        <v>623</v>
      </c>
      <c r="C524" s="211" t="s">
        <v>352</v>
      </c>
      <c r="D524" s="211">
        <v>191829717</v>
      </c>
      <c r="E524" s="211">
        <v>1030</v>
      </c>
      <c r="F524" s="211">
        <v>1130</v>
      </c>
      <c r="G524" s="211">
        <v>1004</v>
      </c>
      <c r="I524" s="211" t="s">
        <v>723</v>
      </c>
      <c r="J524" s="212" t="s">
        <v>638</v>
      </c>
      <c r="K524" s="211" t="s">
        <v>639</v>
      </c>
      <c r="L524" s="211" t="s">
        <v>925</v>
      </c>
      <c r="AD524" s="213"/>
    </row>
    <row r="525" spans="1:30" s="211" customFormat="1" x14ac:dyDescent="0.25">
      <c r="A525" s="211" t="s">
        <v>117</v>
      </c>
      <c r="B525" s="211">
        <v>627</v>
      </c>
      <c r="C525" s="211" t="s">
        <v>354</v>
      </c>
      <c r="D525" s="211">
        <v>9013664</v>
      </c>
      <c r="E525" s="211">
        <v>1020</v>
      </c>
      <c r="F525" s="211">
        <v>1110</v>
      </c>
      <c r="G525" s="211">
        <v>1004</v>
      </c>
      <c r="I525" s="211" t="s">
        <v>2112</v>
      </c>
      <c r="J525" s="212" t="s">
        <v>638</v>
      </c>
      <c r="K525" s="211" t="s">
        <v>639</v>
      </c>
      <c r="L525" s="211" t="s">
        <v>2118</v>
      </c>
      <c r="AD525" s="213"/>
    </row>
    <row r="526" spans="1:30" s="211" customFormat="1" x14ac:dyDescent="0.25">
      <c r="A526" s="211" t="s">
        <v>117</v>
      </c>
      <c r="B526" s="211">
        <v>627</v>
      </c>
      <c r="C526" s="211" t="s">
        <v>354</v>
      </c>
      <c r="D526" s="211">
        <v>191397516</v>
      </c>
      <c r="E526" s="211">
        <v>1060</v>
      </c>
      <c r="F526" s="211">
        <v>1242</v>
      </c>
      <c r="G526" s="211">
        <v>1004</v>
      </c>
      <c r="I526" s="211" t="s">
        <v>724</v>
      </c>
      <c r="J526" s="212" t="s">
        <v>638</v>
      </c>
      <c r="K526" s="211" t="s">
        <v>524</v>
      </c>
      <c r="L526" s="211" t="s">
        <v>890</v>
      </c>
      <c r="AD526" s="213"/>
    </row>
    <row r="527" spans="1:30" s="211" customFormat="1" x14ac:dyDescent="0.25">
      <c r="A527" s="211" t="s">
        <v>117</v>
      </c>
      <c r="B527" s="211">
        <v>627</v>
      </c>
      <c r="C527" s="211" t="s">
        <v>354</v>
      </c>
      <c r="D527" s="211">
        <v>191562492</v>
      </c>
      <c r="E527" s="211">
        <v>1060</v>
      </c>
      <c r="F527" s="211">
        <v>1274</v>
      </c>
      <c r="G527" s="211">
        <v>1004</v>
      </c>
      <c r="I527" s="211" t="s">
        <v>2603</v>
      </c>
      <c r="J527" s="212" t="s">
        <v>638</v>
      </c>
      <c r="K527" s="211" t="s">
        <v>639</v>
      </c>
      <c r="L527" s="211" t="s">
        <v>2613</v>
      </c>
      <c r="AD527" s="213"/>
    </row>
    <row r="528" spans="1:30" s="211" customFormat="1" x14ac:dyDescent="0.25">
      <c r="A528" s="211" t="s">
        <v>117</v>
      </c>
      <c r="B528" s="211">
        <v>627</v>
      </c>
      <c r="C528" s="211" t="s">
        <v>354</v>
      </c>
      <c r="D528" s="211">
        <v>191999764</v>
      </c>
      <c r="E528" s="211">
        <v>1060</v>
      </c>
      <c r="F528" s="211">
        <v>1274</v>
      </c>
      <c r="G528" s="211">
        <v>1004</v>
      </c>
      <c r="I528" s="211" t="s">
        <v>1503</v>
      </c>
      <c r="J528" s="212" t="s">
        <v>638</v>
      </c>
      <c r="K528" s="211" t="s">
        <v>639</v>
      </c>
      <c r="L528" s="211" t="s">
        <v>1578</v>
      </c>
      <c r="AD528" s="213"/>
    </row>
    <row r="529" spans="1:30" s="211" customFormat="1" x14ac:dyDescent="0.25">
      <c r="A529" s="211" t="s">
        <v>117</v>
      </c>
      <c r="B529" s="211">
        <v>627</v>
      </c>
      <c r="C529" s="211" t="s">
        <v>354</v>
      </c>
      <c r="D529" s="211">
        <v>192047098</v>
      </c>
      <c r="E529" s="211">
        <v>1060</v>
      </c>
      <c r="F529" s="211">
        <v>1242</v>
      </c>
      <c r="G529" s="211">
        <v>1004</v>
      </c>
      <c r="I529" s="211" t="s">
        <v>3157</v>
      </c>
      <c r="J529" s="212" t="s">
        <v>638</v>
      </c>
      <c r="K529" s="211" t="s">
        <v>526</v>
      </c>
      <c r="L529" s="211" t="s">
        <v>3179</v>
      </c>
      <c r="AD529" s="213"/>
    </row>
    <row r="530" spans="1:30" s="211" customFormat="1" x14ac:dyDescent="0.25">
      <c r="A530" s="211" t="s">
        <v>117</v>
      </c>
      <c r="B530" s="211">
        <v>627</v>
      </c>
      <c r="C530" s="211" t="s">
        <v>354</v>
      </c>
      <c r="D530" s="211">
        <v>192047099</v>
      </c>
      <c r="E530" s="211">
        <v>1060</v>
      </c>
      <c r="F530" s="211">
        <v>1242</v>
      </c>
      <c r="G530" s="211">
        <v>1004</v>
      </c>
      <c r="I530" s="211" t="s">
        <v>3158</v>
      </c>
      <c r="J530" s="212" t="s">
        <v>638</v>
      </c>
      <c r="K530" s="211" t="s">
        <v>526</v>
      </c>
      <c r="L530" s="211" t="s">
        <v>3179</v>
      </c>
      <c r="AD530" s="213"/>
    </row>
    <row r="531" spans="1:30" s="211" customFormat="1" x14ac:dyDescent="0.25">
      <c r="A531" s="211" t="s">
        <v>117</v>
      </c>
      <c r="B531" s="211">
        <v>628</v>
      </c>
      <c r="C531" s="211" t="s">
        <v>355</v>
      </c>
      <c r="D531" s="211">
        <v>192016460</v>
      </c>
      <c r="E531" s="211">
        <v>1060</v>
      </c>
      <c r="F531" s="211">
        <v>1274</v>
      </c>
      <c r="G531" s="211">
        <v>1004</v>
      </c>
      <c r="I531" s="211" t="s">
        <v>2475</v>
      </c>
      <c r="J531" s="212" t="s">
        <v>638</v>
      </c>
      <c r="K531" s="211" t="s">
        <v>524</v>
      </c>
      <c r="L531" s="211" t="s">
        <v>2498</v>
      </c>
      <c r="AD531" s="213"/>
    </row>
    <row r="532" spans="1:30" s="211" customFormat="1" x14ac:dyDescent="0.25">
      <c r="A532" s="211" t="s">
        <v>117</v>
      </c>
      <c r="B532" s="211">
        <v>628</v>
      </c>
      <c r="C532" s="211" t="s">
        <v>355</v>
      </c>
      <c r="D532" s="211">
        <v>192026336</v>
      </c>
      <c r="E532" s="211">
        <v>1060</v>
      </c>
      <c r="F532" s="211">
        <v>1274</v>
      </c>
      <c r="G532" s="211">
        <v>1004</v>
      </c>
      <c r="I532" s="211" t="s">
        <v>2619</v>
      </c>
      <c r="J532" s="212" t="s">
        <v>638</v>
      </c>
      <c r="K532" s="211" t="s">
        <v>524</v>
      </c>
      <c r="L532" s="211" t="s">
        <v>2632</v>
      </c>
      <c r="AD532" s="213"/>
    </row>
    <row r="533" spans="1:30" s="211" customFormat="1" x14ac:dyDescent="0.25">
      <c r="A533" s="211" t="s">
        <v>117</v>
      </c>
      <c r="B533" s="211">
        <v>630</v>
      </c>
      <c r="C533" s="211" t="s">
        <v>357</v>
      </c>
      <c r="D533" s="211">
        <v>191986681</v>
      </c>
      <c r="E533" s="211">
        <v>1060</v>
      </c>
      <c r="F533" s="211">
        <v>1274</v>
      </c>
      <c r="G533" s="211">
        <v>1004</v>
      </c>
      <c r="I533" s="211" t="s">
        <v>3159</v>
      </c>
      <c r="J533" s="212" t="s">
        <v>638</v>
      </c>
      <c r="K533" s="211" t="s">
        <v>524</v>
      </c>
      <c r="L533" s="211" t="s">
        <v>3185</v>
      </c>
      <c r="AD533" s="213"/>
    </row>
    <row r="534" spans="1:30" s="211" customFormat="1" x14ac:dyDescent="0.25">
      <c r="A534" s="211" t="s">
        <v>117</v>
      </c>
      <c r="B534" s="211">
        <v>632</v>
      </c>
      <c r="C534" s="211" t="s">
        <v>358</v>
      </c>
      <c r="D534" s="211">
        <v>1360886</v>
      </c>
      <c r="E534" s="211">
        <v>1030</v>
      </c>
      <c r="F534" s="211">
        <v>1110</v>
      </c>
      <c r="G534" s="211">
        <v>1004</v>
      </c>
      <c r="I534" s="211" t="s">
        <v>3616</v>
      </c>
      <c r="J534" s="212" t="s">
        <v>638</v>
      </c>
      <c r="K534" s="211" t="s">
        <v>639</v>
      </c>
      <c r="L534" s="211" t="s">
        <v>3750</v>
      </c>
      <c r="AD534" s="213"/>
    </row>
    <row r="535" spans="1:30" s="211" customFormat="1" x14ac:dyDescent="0.25">
      <c r="A535" s="211" t="s">
        <v>117</v>
      </c>
      <c r="B535" s="211">
        <v>632</v>
      </c>
      <c r="C535" s="211" t="s">
        <v>358</v>
      </c>
      <c r="D535" s="211">
        <v>191951622</v>
      </c>
      <c r="E535" s="211">
        <v>1060</v>
      </c>
      <c r="F535" s="211">
        <v>1242</v>
      </c>
      <c r="G535" s="211">
        <v>1004</v>
      </c>
      <c r="I535" s="211" t="s">
        <v>1660</v>
      </c>
      <c r="J535" s="212" t="s">
        <v>638</v>
      </c>
      <c r="K535" s="211" t="s">
        <v>524</v>
      </c>
      <c r="L535" s="211" t="s">
        <v>1662</v>
      </c>
      <c r="AD535" s="213"/>
    </row>
    <row r="536" spans="1:30" s="211" customFormat="1" x14ac:dyDescent="0.25">
      <c r="A536" s="211" t="s">
        <v>117</v>
      </c>
      <c r="B536" s="211">
        <v>632</v>
      </c>
      <c r="C536" s="211" t="s">
        <v>358</v>
      </c>
      <c r="D536" s="211">
        <v>191968593</v>
      </c>
      <c r="E536" s="211">
        <v>1060</v>
      </c>
      <c r="F536" s="211">
        <v>1252</v>
      </c>
      <c r="G536" s="211">
        <v>1003</v>
      </c>
      <c r="I536" s="211" t="s">
        <v>1853</v>
      </c>
      <c r="J536" s="212" t="s">
        <v>638</v>
      </c>
      <c r="K536" s="211" t="s">
        <v>639</v>
      </c>
      <c r="L536" s="211" t="s">
        <v>1917</v>
      </c>
      <c r="AD536" s="213"/>
    </row>
    <row r="537" spans="1:30" s="211" customFormat="1" x14ac:dyDescent="0.25">
      <c r="A537" s="211" t="s">
        <v>117</v>
      </c>
      <c r="B537" s="211">
        <v>632</v>
      </c>
      <c r="C537" s="211" t="s">
        <v>358</v>
      </c>
      <c r="D537" s="211">
        <v>191969818</v>
      </c>
      <c r="E537" s="211">
        <v>1060</v>
      </c>
      <c r="F537" s="211">
        <v>1242</v>
      </c>
      <c r="G537" s="211">
        <v>1004</v>
      </c>
      <c r="I537" s="211" t="s">
        <v>2197</v>
      </c>
      <c r="J537" s="212" t="s">
        <v>638</v>
      </c>
      <c r="K537" s="211" t="s">
        <v>524</v>
      </c>
      <c r="L537" s="211" t="s">
        <v>2207</v>
      </c>
      <c r="AD537" s="213"/>
    </row>
    <row r="538" spans="1:30" s="211" customFormat="1" x14ac:dyDescent="0.25">
      <c r="A538" s="211" t="s">
        <v>117</v>
      </c>
      <c r="B538" s="211">
        <v>632</v>
      </c>
      <c r="C538" s="211" t="s">
        <v>358</v>
      </c>
      <c r="D538" s="211">
        <v>191975112</v>
      </c>
      <c r="E538" s="211">
        <v>1060</v>
      </c>
      <c r="F538" s="211">
        <v>1242</v>
      </c>
      <c r="G538" s="211">
        <v>1003</v>
      </c>
      <c r="I538" s="211" t="s">
        <v>788</v>
      </c>
      <c r="J538" s="212" t="s">
        <v>638</v>
      </c>
      <c r="K538" s="211" t="s">
        <v>639</v>
      </c>
      <c r="L538" s="211" t="s">
        <v>926</v>
      </c>
      <c r="AD538" s="213"/>
    </row>
    <row r="539" spans="1:30" s="211" customFormat="1" x14ac:dyDescent="0.25">
      <c r="A539" s="211" t="s">
        <v>117</v>
      </c>
      <c r="B539" s="211">
        <v>632</v>
      </c>
      <c r="C539" s="211" t="s">
        <v>358</v>
      </c>
      <c r="D539" s="211">
        <v>192015006</v>
      </c>
      <c r="E539" s="211">
        <v>1020</v>
      </c>
      <c r="F539" s="211">
        <v>1121</v>
      </c>
      <c r="G539" s="211">
        <v>1003</v>
      </c>
      <c r="I539" s="211" t="s">
        <v>1802</v>
      </c>
      <c r="J539" s="212" t="s">
        <v>638</v>
      </c>
      <c r="K539" s="211" t="s">
        <v>639</v>
      </c>
      <c r="L539" s="211" t="s">
        <v>1827</v>
      </c>
      <c r="AD539" s="213"/>
    </row>
    <row r="540" spans="1:30" s="211" customFormat="1" x14ac:dyDescent="0.25">
      <c r="A540" s="211" t="s">
        <v>117</v>
      </c>
      <c r="B540" s="211">
        <v>632</v>
      </c>
      <c r="C540" s="211" t="s">
        <v>358</v>
      </c>
      <c r="D540" s="211">
        <v>502024077</v>
      </c>
      <c r="E540" s="211">
        <v>1060</v>
      </c>
      <c r="F540" s="211">
        <v>1251</v>
      </c>
      <c r="G540" s="211">
        <v>1004</v>
      </c>
      <c r="I540" s="211" t="s">
        <v>3774</v>
      </c>
      <c r="J540" s="212" t="s">
        <v>638</v>
      </c>
      <c r="K540" s="211" t="s">
        <v>524</v>
      </c>
      <c r="L540" s="211" t="s">
        <v>3820</v>
      </c>
      <c r="AD540" s="213"/>
    </row>
    <row r="541" spans="1:30" s="211" customFormat="1" x14ac:dyDescent="0.25">
      <c r="A541" s="211" t="s">
        <v>117</v>
      </c>
      <c r="B541" s="211">
        <v>632</v>
      </c>
      <c r="C541" s="211" t="s">
        <v>358</v>
      </c>
      <c r="D541" s="211">
        <v>502024078</v>
      </c>
      <c r="E541" s="211">
        <v>1060</v>
      </c>
      <c r="F541" s="211">
        <v>1251</v>
      </c>
      <c r="G541" s="211">
        <v>1004</v>
      </c>
      <c r="I541" s="211" t="s">
        <v>3775</v>
      </c>
      <c r="J541" s="212" t="s">
        <v>638</v>
      </c>
      <c r="K541" s="211" t="s">
        <v>524</v>
      </c>
      <c r="L541" s="211" t="s">
        <v>3821</v>
      </c>
      <c r="AD541" s="213"/>
    </row>
    <row r="542" spans="1:30" s="211" customFormat="1" x14ac:dyDescent="0.25">
      <c r="A542" s="211" t="s">
        <v>117</v>
      </c>
      <c r="B542" s="211">
        <v>632</v>
      </c>
      <c r="C542" s="211" t="s">
        <v>358</v>
      </c>
      <c r="D542" s="211">
        <v>502024113</v>
      </c>
      <c r="E542" s="211">
        <v>1060</v>
      </c>
      <c r="F542" s="211">
        <v>1271</v>
      </c>
      <c r="G542" s="211">
        <v>1004</v>
      </c>
      <c r="I542" s="211" t="s">
        <v>2647</v>
      </c>
      <c r="J542" s="212" t="s">
        <v>638</v>
      </c>
      <c r="K542" s="211" t="s">
        <v>524</v>
      </c>
      <c r="L542" s="211" t="s">
        <v>2658</v>
      </c>
      <c r="AD542" s="213"/>
    </row>
    <row r="543" spans="1:30" s="211" customFormat="1" x14ac:dyDescent="0.25">
      <c r="A543" s="211" t="s">
        <v>117</v>
      </c>
      <c r="B543" s="211">
        <v>632</v>
      </c>
      <c r="C543" s="211" t="s">
        <v>358</v>
      </c>
      <c r="D543" s="211">
        <v>502024114</v>
      </c>
      <c r="E543" s="211">
        <v>1060</v>
      </c>
      <c r="F543" s="211">
        <v>1271</v>
      </c>
      <c r="G543" s="211">
        <v>1004</v>
      </c>
      <c r="I543" s="211" t="s">
        <v>2648</v>
      </c>
      <c r="J543" s="212" t="s">
        <v>638</v>
      </c>
      <c r="K543" s="211" t="s">
        <v>524</v>
      </c>
      <c r="L543" s="211" t="s">
        <v>2659</v>
      </c>
      <c r="AD543" s="213"/>
    </row>
    <row r="544" spans="1:30" s="211" customFormat="1" x14ac:dyDescent="0.25">
      <c r="A544" s="211" t="s">
        <v>117</v>
      </c>
      <c r="B544" s="211">
        <v>632</v>
      </c>
      <c r="C544" s="211" t="s">
        <v>358</v>
      </c>
      <c r="D544" s="211">
        <v>502024115</v>
      </c>
      <c r="E544" s="211">
        <v>1060</v>
      </c>
      <c r="F544" s="211">
        <v>1271</v>
      </c>
      <c r="G544" s="211">
        <v>1004</v>
      </c>
      <c r="I544" s="211" t="s">
        <v>2649</v>
      </c>
      <c r="J544" s="212" t="s">
        <v>638</v>
      </c>
      <c r="K544" s="211" t="s">
        <v>524</v>
      </c>
      <c r="L544" s="211" t="s">
        <v>2660</v>
      </c>
      <c r="AD544" s="213"/>
    </row>
    <row r="545" spans="1:30" s="211" customFormat="1" x14ac:dyDescent="0.25">
      <c r="A545" s="211" t="s">
        <v>117</v>
      </c>
      <c r="B545" s="211">
        <v>632</v>
      </c>
      <c r="C545" s="211" t="s">
        <v>358</v>
      </c>
      <c r="D545" s="211">
        <v>502024255</v>
      </c>
      <c r="E545" s="211">
        <v>1060</v>
      </c>
      <c r="F545" s="211">
        <v>1251</v>
      </c>
      <c r="G545" s="211">
        <v>1004</v>
      </c>
      <c r="I545" s="211" t="s">
        <v>3776</v>
      </c>
      <c r="J545" s="212" t="s">
        <v>638</v>
      </c>
      <c r="K545" s="211" t="s">
        <v>639</v>
      </c>
      <c r="L545" s="211" t="s">
        <v>3841</v>
      </c>
      <c r="AD545" s="213"/>
    </row>
    <row r="546" spans="1:30" s="211" customFormat="1" x14ac:dyDescent="0.25">
      <c r="A546" s="211" t="s">
        <v>117</v>
      </c>
      <c r="B546" s="211">
        <v>632</v>
      </c>
      <c r="C546" s="211" t="s">
        <v>358</v>
      </c>
      <c r="D546" s="211">
        <v>502024263</v>
      </c>
      <c r="E546" s="211">
        <v>1060</v>
      </c>
      <c r="F546" s="211">
        <v>1252</v>
      </c>
      <c r="G546" s="211">
        <v>1004</v>
      </c>
      <c r="I546" s="211" t="s">
        <v>3617</v>
      </c>
      <c r="J546" s="212" t="s">
        <v>638</v>
      </c>
      <c r="K546" s="211" t="s">
        <v>639</v>
      </c>
      <c r="L546" s="211" t="s">
        <v>3751</v>
      </c>
      <c r="AD546" s="213"/>
    </row>
    <row r="547" spans="1:30" s="211" customFormat="1" x14ac:dyDescent="0.25">
      <c r="A547" s="211" t="s">
        <v>117</v>
      </c>
      <c r="B547" s="211">
        <v>632</v>
      </c>
      <c r="C547" s="211" t="s">
        <v>358</v>
      </c>
      <c r="D547" s="211">
        <v>502024424</v>
      </c>
      <c r="E547" s="211">
        <v>1060</v>
      </c>
      <c r="F547" s="211">
        <v>1242</v>
      </c>
      <c r="G547" s="211">
        <v>1004</v>
      </c>
      <c r="I547" s="211" t="s">
        <v>3777</v>
      </c>
      <c r="J547" s="212" t="s">
        <v>638</v>
      </c>
      <c r="K547" s="211" t="s">
        <v>524</v>
      </c>
      <c r="L547" s="211" t="s">
        <v>3822</v>
      </c>
      <c r="AD547" s="213"/>
    </row>
    <row r="548" spans="1:30" s="211" customFormat="1" x14ac:dyDescent="0.25">
      <c r="A548" s="211" t="s">
        <v>117</v>
      </c>
      <c r="B548" s="211">
        <v>632</v>
      </c>
      <c r="C548" s="211" t="s">
        <v>358</v>
      </c>
      <c r="D548" s="211">
        <v>502024425</v>
      </c>
      <c r="E548" s="211">
        <v>1060</v>
      </c>
      <c r="F548" s="211">
        <v>1251</v>
      </c>
      <c r="G548" s="211">
        <v>1004</v>
      </c>
      <c r="I548" s="211" t="s">
        <v>3778</v>
      </c>
      <c r="J548" s="212" t="s">
        <v>638</v>
      </c>
      <c r="K548" s="211" t="s">
        <v>524</v>
      </c>
      <c r="L548" s="211" t="s">
        <v>3823</v>
      </c>
      <c r="AD548" s="213"/>
    </row>
    <row r="549" spans="1:30" s="211" customFormat="1" x14ac:dyDescent="0.25">
      <c r="A549" s="211" t="s">
        <v>117</v>
      </c>
      <c r="B549" s="211">
        <v>632</v>
      </c>
      <c r="C549" s="211" t="s">
        <v>358</v>
      </c>
      <c r="D549" s="211">
        <v>502024437</v>
      </c>
      <c r="E549" s="211">
        <v>1060</v>
      </c>
      <c r="F549" s="211">
        <v>1242</v>
      </c>
      <c r="G549" s="211">
        <v>1004</v>
      </c>
      <c r="I549" s="211" t="s">
        <v>3618</v>
      </c>
      <c r="J549" s="212" t="s">
        <v>638</v>
      </c>
      <c r="K549" s="211" t="s">
        <v>524</v>
      </c>
      <c r="L549" s="211" t="s">
        <v>3695</v>
      </c>
      <c r="AD549" s="213"/>
    </row>
    <row r="550" spans="1:30" s="211" customFormat="1" x14ac:dyDescent="0.25">
      <c r="A550" s="211" t="s">
        <v>117</v>
      </c>
      <c r="B550" s="211">
        <v>665</v>
      </c>
      <c r="C550" s="211" t="s">
        <v>361</v>
      </c>
      <c r="D550" s="211">
        <v>192052081</v>
      </c>
      <c r="E550" s="211">
        <v>1080</v>
      </c>
      <c r="F550" s="211">
        <v>1274</v>
      </c>
      <c r="G550" s="211">
        <v>1003</v>
      </c>
      <c r="I550" s="211" t="s">
        <v>3779</v>
      </c>
      <c r="J550" s="212" t="s">
        <v>638</v>
      </c>
      <c r="K550" s="211" t="s">
        <v>524</v>
      </c>
      <c r="L550" s="211" t="s">
        <v>3824</v>
      </c>
      <c r="AD550" s="213"/>
    </row>
    <row r="551" spans="1:30" s="211" customFormat="1" x14ac:dyDescent="0.25">
      <c r="A551" s="211" t="s">
        <v>117</v>
      </c>
      <c r="B551" s="211">
        <v>666</v>
      </c>
      <c r="C551" s="211" t="s">
        <v>362</v>
      </c>
      <c r="D551" s="211">
        <v>192000513</v>
      </c>
      <c r="E551" s="211">
        <v>1080</v>
      </c>
      <c r="F551" s="211">
        <v>1242</v>
      </c>
      <c r="G551" s="211">
        <v>1004</v>
      </c>
      <c r="I551" s="211" t="s">
        <v>2950</v>
      </c>
      <c r="J551" s="212" t="s">
        <v>638</v>
      </c>
      <c r="K551" s="211" t="s">
        <v>639</v>
      </c>
      <c r="L551" s="211" t="s">
        <v>2986</v>
      </c>
      <c r="AD551" s="213"/>
    </row>
    <row r="552" spans="1:30" s="211" customFormat="1" x14ac:dyDescent="0.25">
      <c r="A552" s="211" t="s">
        <v>117</v>
      </c>
      <c r="B552" s="211">
        <v>666</v>
      </c>
      <c r="C552" s="211" t="s">
        <v>362</v>
      </c>
      <c r="D552" s="211">
        <v>192007945</v>
      </c>
      <c r="E552" s="211">
        <v>1060</v>
      </c>
      <c r="F552" s="211">
        <v>1274</v>
      </c>
      <c r="G552" s="211">
        <v>1004</v>
      </c>
      <c r="I552" s="211" t="s">
        <v>2951</v>
      </c>
      <c r="J552" s="212" t="s">
        <v>638</v>
      </c>
      <c r="K552" s="211" t="s">
        <v>524</v>
      </c>
      <c r="L552" s="211" t="s">
        <v>2975</v>
      </c>
      <c r="AD552" s="213"/>
    </row>
    <row r="553" spans="1:30" s="211" customFormat="1" x14ac:dyDescent="0.25">
      <c r="A553" s="211" t="s">
        <v>117</v>
      </c>
      <c r="B553" s="211">
        <v>667</v>
      </c>
      <c r="C553" s="211" t="s">
        <v>363</v>
      </c>
      <c r="D553" s="211">
        <v>192007227</v>
      </c>
      <c r="E553" s="211">
        <v>1060</v>
      </c>
      <c r="F553" s="211">
        <v>1274</v>
      </c>
      <c r="G553" s="211">
        <v>1004</v>
      </c>
      <c r="I553" s="211" t="s">
        <v>1803</v>
      </c>
      <c r="J553" s="212" t="s">
        <v>638</v>
      </c>
      <c r="K553" s="211" t="s">
        <v>524</v>
      </c>
      <c r="L553" s="211" t="s">
        <v>1818</v>
      </c>
      <c r="AD553" s="213"/>
    </row>
    <row r="554" spans="1:30" s="211" customFormat="1" x14ac:dyDescent="0.25">
      <c r="A554" s="211" t="s">
        <v>117</v>
      </c>
      <c r="B554" s="211">
        <v>667</v>
      </c>
      <c r="C554" s="211" t="s">
        <v>363</v>
      </c>
      <c r="D554" s="211">
        <v>192019024</v>
      </c>
      <c r="E554" s="211">
        <v>1080</v>
      </c>
      <c r="F554" s="211">
        <v>1242</v>
      </c>
      <c r="G554" s="211">
        <v>1004</v>
      </c>
      <c r="I554" s="211" t="s">
        <v>2072</v>
      </c>
      <c r="J554" s="212" t="s">
        <v>638</v>
      </c>
      <c r="K554" s="211" t="s">
        <v>524</v>
      </c>
      <c r="L554" s="211" t="s">
        <v>2106</v>
      </c>
      <c r="AD554" s="213"/>
    </row>
    <row r="555" spans="1:30" s="211" customFormat="1" x14ac:dyDescent="0.25">
      <c r="A555" s="211" t="s">
        <v>117</v>
      </c>
      <c r="B555" s="211">
        <v>667</v>
      </c>
      <c r="C555" s="211" t="s">
        <v>363</v>
      </c>
      <c r="D555" s="211">
        <v>192026842</v>
      </c>
      <c r="E555" s="211">
        <v>1020</v>
      </c>
      <c r="F555" s="211">
        <v>1110</v>
      </c>
      <c r="G555" s="211">
        <v>1004</v>
      </c>
      <c r="I555" s="211" t="s">
        <v>2292</v>
      </c>
      <c r="J555" s="212" t="s">
        <v>638</v>
      </c>
      <c r="K555" s="211" t="s">
        <v>526</v>
      </c>
      <c r="L555" s="211" t="s">
        <v>2296</v>
      </c>
      <c r="AD555" s="213"/>
    </row>
    <row r="556" spans="1:30" s="211" customFormat="1" x14ac:dyDescent="0.25">
      <c r="A556" s="211" t="s">
        <v>117</v>
      </c>
      <c r="B556" s="211">
        <v>667</v>
      </c>
      <c r="C556" s="211" t="s">
        <v>363</v>
      </c>
      <c r="D556" s="211">
        <v>192026853</v>
      </c>
      <c r="E556" s="211">
        <v>1020</v>
      </c>
      <c r="F556" s="211">
        <v>1110</v>
      </c>
      <c r="G556" s="211">
        <v>1004</v>
      </c>
      <c r="I556" s="211" t="s">
        <v>2293</v>
      </c>
      <c r="J556" s="212" t="s">
        <v>638</v>
      </c>
      <c r="K556" s="211" t="s">
        <v>526</v>
      </c>
      <c r="L556" s="211" t="s">
        <v>2297</v>
      </c>
      <c r="AD556" s="213"/>
    </row>
    <row r="557" spans="1:30" s="211" customFormat="1" x14ac:dyDescent="0.25">
      <c r="A557" s="211" t="s">
        <v>117</v>
      </c>
      <c r="B557" s="211">
        <v>667</v>
      </c>
      <c r="C557" s="211" t="s">
        <v>363</v>
      </c>
      <c r="D557" s="211">
        <v>504031266</v>
      </c>
      <c r="E557" s="211">
        <v>1060</v>
      </c>
      <c r="F557" s="211">
        <v>1274</v>
      </c>
      <c r="G557" s="211">
        <v>1004</v>
      </c>
      <c r="I557" s="211" t="s">
        <v>3619</v>
      </c>
      <c r="J557" s="212" t="s">
        <v>638</v>
      </c>
      <c r="K557" s="211" t="s">
        <v>524</v>
      </c>
      <c r="L557" s="211" t="s">
        <v>3696</v>
      </c>
      <c r="AD557" s="213"/>
    </row>
    <row r="558" spans="1:30" s="211" customFormat="1" x14ac:dyDescent="0.25">
      <c r="A558" s="211" t="s">
        <v>117</v>
      </c>
      <c r="B558" s="211">
        <v>670</v>
      </c>
      <c r="C558" s="211" t="s">
        <v>366</v>
      </c>
      <c r="D558" s="211">
        <v>1373320</v>
      </c>
      <c r="E558" s="211">
        <v>1060</v>
      </c>
      <c r="F558" s="211">
        <v>1274</v>
      </c>
      <c r="G558" s="211">
        <v>1004</v>
      </c>
      <c r="I558" s="211" t="s">
        <v>3027</v>
      </c>
      <c r="J558" s="212" t="s">
        <v>638</v>
      </c>
      <c r="K558" s="211" t="s">
        <v>639</v>
      </c>
      <c r="L558" s="211" t="s">
        <v>3135</v>
      </c>
      <c r="AD558" s="213"/>
    </row>
    <row r="559" spans="1:30" s="211" customFormat="1" x14ac:dyDescent="0.25">
      <c r="A559" s="211" t="s">
        <v>117</v>
      </c>
      <c r="B559" s="211">
        <v>681</v>
      </c>
      <c r="C559" s="211" t="s">
        <v>368</v>
      </c>
      <c r="D559" s="211">
        <v>504004079</v>
      </c>
      <c r="E559" s="211">
        <v>1060</v>
      </c>
      <c r="G559" s="211">
        <v>1004</v>
      </c>
      <c r="I559" s="211" t="s">
        <v>3285</v>
      </c>
      <c r="J559" s="212" t="s">
        <v>638</v>
      </c>
      <c r="K559" s="211" t="s">
        <v>524</v>
      </c>
      <c r="L559" s="211" t="s">
        <v>3338</v>
      </c>
      <c r="AD559" s="213"/>
    </row>
    <row r="560" spans="1:30" s="211" customFormat="1" x14ac:dyDescent="0.25">
      <c r="A560" s="211" t="s">
        <v>117</v>
      </c>
      <c r="B560" s="211">
        <v>681</v>
      </c>
      <c r="C560" s="211" t="s">
        <v>368</v>
      </c>
      <c r="D560" s="211">
        <v>504004083</v>
      </c>
      <c r="E560" s="211">
        <v>1060</v>
      </c>
      <c r="F560" s="211">
        <v>1274</v>
      </c>
      <c r="G560" s="211">
        <v>1004</v>
      </c>
      <c r="I560" s="211" t="s">
        <v>3286</v>
      </c>
      <c r="J560" s="212" t="s">
        <v>638</v>
      </c>
      <c r="K560" s="211" t="s">
        <v>524</v>
      </c>
      <c r="L560" s="211" t="s">
        <v>3339</v>
      </c>
      <c r="AD560" s="213"/>
    </row>
    <row r="561" spans="1:30" s="211" customFormat="1" x14ac:dyDescent="0.25">
      <c r="A561" s="211" t="s">
        <v>117</v>
      </c>
      <c r="B561" s="211">
        <v>696</v>
      </c>
      <c r="C561" s="211" t="s">
        <v>375</v>
      </c>
      <c r="D561" s="211">
        <v>192047359</v>
      </c>
      <c r="E561" s="211">
        <v>1060</v>
      </c>
      <c r="F561" s="211">
        <v>1271</v>
      </c>
      <c r="G561" s="211">
        <v>1003</v>
      </c>
      <c r="I561" s="211" t="s">
        <v>3201</v>
      </c>
      <c r="J561" s="212" t="s">
        <v>638</v>
      </c>
      <c r="K561" s="211" t="s">
        <v>639</v>
      </c>
      <c r="L561" s="211" t="s">
        <v>3209</v>
      </c>
      <c r="AD561" s="213"/>
    </row>
    <row r="562" spans="1:30" s="211" customFormat="1" x14ac:dyDescent="0.25">
      <c r="A562" s="211" t="s">
        <v>117</v>
      </c>
      <c r="B562" s="211">
        <v>700</v>
      </c>
      <c r="C562" s="211" t="s">
        <v>376</v>
      </c>
      <c r="D562" s="211">
        <v>191988093</v>
      </c>
      <c r="E562" s="211">
        <v>1060</v>
      </c>
      <c r="F562" s="211">
        <v>1230</v>
      </c>
      <c r="G562" s="211">
        <v>1004</v>
      </c>
      <c r="I562" s="211" t="s">
        <v>3202</v>
      </c>
      <c r="J562" s="212" t="s">
        <v>638</v>
      </c>
      <c r="K562" s="211" t="s">
        <v>639</v>
      </c>
      <c r="L562" s="211" t="s">
        <v>3353</v>
      </c>
      <c r="AD562" s="213"/>
    </row>
    <row r="563" spans="1:30" s="211" customFormat="1" x14ac:dyDescent="0.25">
      <c r="A563" s="211" t="s">
        <v>117</v>
      </c>
      <c r="B563" s="211">
        <v>711</v>
      </c>
      <c r="C563" s="211" t="s">
        <v>384</v>
      </c>
      <c r="D563" s="211">
        <v>192005262</v>
      </c>
      <c r="E563" s="211">
        <v>1060</v>
      </c>
      <c r="F563" s="211">
        <v>1242</v>
      </c>
      <c r="G563" s="211">
        <v>1004</v>
      </c>
      <c r="I563" s="211" t="s">
        <v>1804</v>
      </c>
      <c r="J563" s="212" t="s">
        <v>638</v>
      </c>
      <c r="K563" s="211" t="s">
        <v>524</v>
      </c>
      <c r="L563" s="211" t="s">
        <v>1819</v>
      </c>
      <c r="AD563" s="213"/>
    </row>
    <row r="564" spans="1:30" s="211" customFormat="1" x14ac:dyDescent="0.25">
      <c r="A564" s="211" t="s">
        <v>117</v>
      </c>
      <c r="B564" s="211">
        <v>713</v>
      </c>
      <c r="C564" s="211" t="s">
        <v>385</v>
      </c>
      <c r="D564" s="211">
        <v>502167749</v>
      </c>
      <c r="E564" s="211">
        <v>1060</v>
      </c>
      <c r="F564" s="211">
        <v>1274</v>
      </c>
      <c r="G564" s="211">
        <v>1004</v>
      </c>
      <c r="I564" s="211" t="s">
        <v>2792</v>
      </c>
      <c r="J564" s="212" t="s">
        <v>638</v>
      </c>
      <c r="K564" s="211" t="s">
        <v>524</v>
      </c>
      <c r="L564" s="211" t="s">
        <v>2825</v>
      </c>
      <c r="AD564" s="213"/>
    </row>
    <row r="565" spans="1:30" s="211" customFormat="1" x14ac:dyDescent="0.25">
      <c r="A565" s="211" t="s">
        <v>117</v>
      </c>
      <c r="B565" s="211">
        <v>723</v>
      </c>
      <c r="C565" s="211" t="s">
        <v>389</v>
      </c>
      <c r="D565" s="211">
        <v>192049138</v>
      </c>
      <c r="E565" s="211">
        <v>1020</v>
      </c>
      <c r="F565" s="211">
        <v>1121</v>
      </c>
      <c r="G565" s="211">
        <v>1003</v>
      </c>
      <c r="I565" s="211" t="s">
        <v>3287</v>
      </c>
      <c r="J565" s="212" t="s">
        <v>638</v>
      </c>
      <c r="K565" s="211" t="s">
        <v>639</v>
      </c>
      <c r="L565" s="211" t="s">
        <v>3354</v>
      </c>
      <c r="AD565" s="213"/>
    </row>
    <row r="566" spans="1:30" s="211" customFormat="1" x14ac:dyDescent="0.25">
      <c r="A566" s="211" t="s">
        <v>117</v>
      </c>
      <c r="B566" s="211">
        <v>724</v>
      </c>
      <c r="C566" s="211" t="s">
        <v>390</v>
      </c>
      <c r="D566" s="211">
        <v>192020564</v>
      </c>
      <c r="E566" s="211">
        <v>1060</v>
      </c>
      <c r="F566" s="211">
        <v>1271</v>
      </c>
      <c r="G566" s="211">
        <v>1004</v>
      </c>
      <c r="I566" s="211" t="s">
        <v>2098</v>
      </c>
      <c r="J566" s="212" t="s">
        <v>638</v>
      </c>
      <c r="K566" s="211" t="s">
        <v>639</v>
      </c>
      <c r="L566" s="211" t="s">
        <v>2108</v>
      </c>
      <c r="AD566" s="213"/>
    </row>
    <row r="567" spans="1:30" s="211" customFormat="1" x14ac:dyDescent="0.25">
      <c r="A567" s="211" t="s">
        <v>117</v>
      </c>
      <c r="B567" s="211">
        <v>724</v>
      </c>
      <c r="C567" s="211" t="s">
        <v>390</v>
      </c>
      <c r="D567" s="211">
        <v>192020567</v>
      </c>
      <c r="E567" s="211">
        <v>1060</v>
      </c>
      <c r="F567" s="211">
        <v>1242</v>
      </c>
      <c r="G567" s="211">
        <v>1004</v>
      </c>
      <c r="I567" s="211" t="s">
        <v>2099</v>
      </c>
      <c r="J567" s="212" t="s">
        <v>638</v>
      </c>
      <c r="K567" s="211" t="s">
        <v>639</v>
      </c>
      <c r="L567" s="211" t="s">
        <v>2109</v>
      </c>
      <c r="AD567" s="213"/>
    </row>
    <row r="568" spans="1:30" s="211" customFormat="1" x14ac:dyDescent="0.25">
      <c r="A568" s="211" t="s">
        <v>117</v>
      </c>
      <c r="B568" s="211">
        <v>724</v>
      </c>
      <c r="C568" s="211" t="s">
        <v>390</v>
      </c>
      <c r="D568" s="211">
        <v>192020584</v>
      </c>
      <c r="E568" s="211">
        <v>1060</v>
      </c>
      <c r="F568" s="211">
        <v>1252</v>
      </c>
      <c r="G568" s="211">
        <v>1004</v>
      </c>
      <c r="I568" s="211" t="s">
        <v>2100</v>
      </c>
      <c r="J568" s="212" t="s">
        <v>638</v>
      </c>
      <c r="K568" s="211" t="s">
        <v>524</v>
      </c>
      <c r="L568" s="211" t="s">
        <v>2107</v>
      </c>
      <c r="AD568" s="213"/>
    </row>
    <row r="569" spans="1:30" s="211" customFormat="1" x14ac:dyDescent="0.25">
      <c r="A569" s="211" t="s">
        <v>117</v>
      </c>
      <c r="B569" s="211">
        <v>726</v>
      </c>
      <c r="C569" s="211" t="s">
        <v>391</v>
      </c>
      <c r="D569" s="211">
        <v>192004411</v>
      </c>
      <c r="E569" s="211">
        <v>1060</v>
      </c>
      <c r="F569" s="211">
        <v>1242</v>
      </c>
      <c r="G569" s="211">
        <v>1004</v>
      </c>
      <c r="I569" s="211" t="s">
        <v>1628</v>
      </c>
      <c r="J569" s="212" t="s">
        <v>638</v>
      </c>
      <c r="K569" s="211" t="s">
        <v>524</v>
      </c>
      <c r="L569" s="211" t="s">
        <v>1635</v>
      </c>
      <c r="AD569" s="213"/>
    </row>
    <row r="570" spans="1:30" s="211" customFormat="1" x14ac:dyDescent="0.25">
      <c r="A570" s="211" t="s">
        <v>117</v>
      </c>
      <c r="B570" s="211">
        <v>726</v>
      </c>
      <c r="C570" s="211" t="s">
        <v>391</v>
      </c>
      <c r="D570" s="211">
        <v>192033565</v>
      </c>
      <c r="E570" s="211">
        <v>1060</v>
      </c>
      <c r="F570" s="211">
        <v>1252</v>
      </c>
      <c r="G570" s="211">
        <v>1004</v>
      </c>
      <c r="I570" s="211" t="s">
        <v>2517</v>
      </c>
      <c r="J570" s="212" t="s">
        <v>638</v>
      </c>
      <c r="K570" s="211" t="s">
        <v>639</v>
      </c>
      <c r="L570" s="211" t="s">
        <v>2544</v>
      </c>
      <c r="AD570" s="213"/>
    </row>
    <row r="571" spans="1:30" s="211" customFormat="1" x14ac:dyDescent="0.25">
      <c r="A571" s="211" t="s">
        <v>117</v>
      </c>
      <c r="B571" s="211">
        <v>726</v>
      </c>
      <c r="C571" s="211" t="s">
        <v>391</v>
      </c>
      <c r="D571" s="211">
        <v>192034415</v>
      </c>
      <c r="E571" s="211">
        <v>1060</v>
      </c>
      <c r="F571" s="211">
        <v>1252</v>
      </c>
      <c r="G571" s="211">
        <v>1004</v>
      </c>
      <c r="I571" s="211" t="s">
        <v>2753</v>
      </c>
      <c r="J571" s="212" t="s">
        <v>638</v>
      </c>
      <c r="K571" s="211" t="s">
        <v>524</v>
      </c>
      <c r="L571" s="211" t="s">
        <v>2777</v>
      </c>
      <c r="AD571" s="213"/>
    </row>
    <row r="572" spans="1:30" s="211" customFormat="1" x14ac:dyDescent="0.25">
      <c r="A572" s="211" t="s">
        <v>117</v>
      </c>
      <c r="B572" s="211">
        <v>726</v>
      </c>
      <c r="C572" s="211" t="s">
        <v>391</v>
      </c>
      <c r="D572" s="211">
        <v>192034416</v>
      </c>
      <c r="E572" s="211">
        <v>1060</v>
      </c>
      <c r="F572" s="211">
        <v>1252</v>
      </c>
      <c r="G572" s="211">
        <v>1004</v>
      </c>
      <c r="I572" s="211" t="s">
        <v>2550</v>
      </c>
      <c r="J572" s="212" t="s">
        <v>638</v>
      </c>
      <c r="K572" s="211" t="s">
        <v>524</v>
      </c>
      <c r="L572" s="211" t="s">
        <v>2565</v>
      </c>
      <c r="AD572" s="213"/>
    </row>
    <row r="573" spans="1:30" s="211" customFormat="1" x14ac:dyDescent="0.25">
      <c r="A573" s="211" t="s">
        <v>117</v>
      </c>
      <c r="B573" s="211">
        <v>726</v>
      </c>
      <c r="C573" s="211" t="s">
        <v>391</v>
      </c>
      <c r="D573" s="211">
        <v>192041228</v>
      </c>
      <c r="E573" s="211">
        <v>1060</v>
      </c>
      <c r="F573" s="211">
        <v>1252</v>
      </c>
      <c r="G573" s="211">
        <v>1004</v>
      </c>
      <c r="I573" s="211" t="s">
        <v>2754</v>
      </c>
      <c r="J573" s="212" t="s">
        <v>638</v>
      </c>
      <c r="K573" s="211" t="s">
        <v>524</v>
      </c>
      <c r="L573" s="211" t="s">
        <v>2778</v>
      </c>
      <c r="AD573" s="213"/>
    </row>
    <row r="574" spans="1:30" s="211" customFormat="1" x14ac:dyDescent="0.25">
      <c r="A574" s="211" t="s">
        <v>117</v>
      </c>
      <c r="B574" s="211">
        <v>726</v>
      </c>
      <c r="C574" s="211" t="s">
        <v>391</v>
      </c>
      <c r="D574" s="211">
        <v>192041246</v>
      </c>
      <c r="E574" s="211">
        <v>1060</v>
      </c>
      <c r="F574" s="211">
        <v>1252</v>
      </c>
      <c r="G574" s="211">
        <v>1004</v>
      </c>
      <c r="I574" s="211" t="s">
        <v>2755</v>
      </c>
      <c r="J574" s="212" t="s">
        <v>638</v>
      </c>
      <c r="K574" s="211" t="s">
        <v>524</v>
      </c>
      <c r="L574" s="211" t="s">
        <v>2779</v>
      </c>
      <c r="AD574" s="213"/>
    </row>
    <row r="575" spans="1:30" s="211" customFormat="1" x14ac:dyDescent="0.25">
      <c r="A575" s="211" t="s">
        <v>117</v>
      </c>
      <c r="B575" s="211">
        <v>726</v>
      </c>
      <c r="C575" s="211" t="s">
        <v>391</v>
      </c>
      <c r="D575" s="211">
        <v>192047627</v>
      </c>
      <c r="E575" s="211">
        <v>1060</v>
      </c>
      <c r="F575" s="211">
        <v>1252</v>
      </c>
      <c r="G575" s="211">
        <v>1004</v>
      </c>
      <c r="I575" s="211" t="s">
        <v>3203</v>
      </c>
      <c r="J575" s="212" t="s">
        <v>638</v>
      </c>
      <c r="K575" s="211" t="s">
        <v>524</v>
      </c>
      <c r="L575" s="211" t="s">
        <v>3208</v>
      </c>
      <c r="AD575" s="213"/>
    </row>
    <row r="576" spans="1:30" s="211" customFormat="1" x14ac:dyDescent="0.25">
      <c r="A576" s="211" t="s">
        <v>117</v>
      </c>
      <c r="B576" s="211">
        <v>731</v>
      </c>
      <c r="C576" s="211" t="s">
        <v>392</v>
      </c>
      <c r="D576" s="211">
        <v>1382551</v>
      </c>
      <c r="E576" s="211">
        <v>1020</v>
      </c>
      <c r="F576" s="211">
        <v>1121</v>
      </c>
      <c r="G576" s="211">
        <v>1004</v>
      </c>
      <c r="I576" s="211" t="s">
        <v>2650</v>
      </c>
      <c r="J576" s="212" t="s">
        <v>638</v>
      </c>
      <c r="K576" s="211" t="s">
        <v>639</v>
      </c>
      <c r="L576" s="211" t="s">
        <v>2670</v>
      </c>
      <c r="AD576" s="213"/>
    </row>
    <row r="577" spans="1:30" s="211" customFormat="1" x14ac:dyDescent="0.25">
      <c r="A577" s="211" t="s">
        <v>117</v>
      </c>
      <c r="B577" s="211">
        <v>731</v>
      </c>
      <c r="C577" s="211" t="s">
        <v>392</v>
      </c>
      <c r="D577" s="211">
        <v>192048696</v>
      </c>
      <c r="E577" s="211">
        <v>1080</v>
      </c>
      <c r="F577" s="211">
        <v>1252</v>
      </c>
      <c r="G577" s="211">
        <v>1004</v>
      </c>
      <c r="I577" s="211" t="s">
        <v>3288</v>
      </c>
      <c r="J577" s="212" t="s">
        <v>638</v>
      </c>
      <c r="K577" s="211" t="s">
        <v>524</v>
      </c>
      <c r="L577" s="211" t="s">
        <v>3340</v>
      </c>
      <c r="AD577" s="213"/>
    </row>
    <row r="578" spans="1:30" s="211" customFormat="1" x14ac:dyDescent="0.25">
      <c r="A578" s="211" t="s">
        <v>117</v>
      </c>
      <c r="B578" s="211">
        <v>731</v>
      </c>
      <c r="C578" s="211" t="s">
        <v>392</v>
      </c>
      <c r="D578" s="211">
        <v>502053183</v>
      </c>
      <c r="E578" s="211">
        <v>1060</v>
      </c>
      <c r="F578" s="211">
        <v>1242</v>
      </c>
      <c r="G578" s="211">
        <v>1004</v>
      </c>
      <c r="I578" s="211" t="s">
        <v>2651</v>
      </c>
      <c r="J578" s="212" t="s">
        <v>638</v>
      </c>
      <c r="K578" s="211" t="s">
        <v>524</v>
      </c>
      <c r="L578" s="211" t="s">
        <v>2661</v>
      </c>
      <c r="AD578" s="213"/>
    </row>
    <row r="579" spans="1:30" s="211" customFormat="1" x14ac:dyDescent="0.25">
      <c r="A579" s="211" t="s">
        <v>117</v>
      </c>
      <c r="B579" s="211">
        <v>732</v>
      </c>
      <c r="C579" s="211" t="s">
        <v>393</v>
      </c>
      <c r="D579" s="211">
        <v>502053199</v>
      </c>
      <c r="E579" s="211">
        <v>1080</v>
      </c>
      <c r="G579" s="211">
        <v>1004</v>
      </c>
      <c r="I579" s="211" t="s">
        <v>2583</v>
      </c>
      <c r="J579" s="212" t="s">
        <v>638</v>
      </c>
      <c r="K579" s="211" t="s">
        <v>639</v>
      </c>
      <c r="L579" s="211" t="s">
        <v>2592</v>
      </c>
      <c r="AD579" s="213"/>
    </row>
    <row r="580" spans="1:30" s="211" customFormat="1" x14ac:dyDescent="0.25">
      <c r="A580" s="211" t="s">
        <v>117</v>
      </c>
      <c r="B580" s="211">
        <v>733</v>
      </c>
      <c r="C580" s="211" t="s">
        <v>394</v>
      </c>
      <c r="D580" s="211">
        <v>1383246</v>
      </c>
      <c r="E580" s="211">
        <v>1020</v>
      </c>
      <c r="F580" s="211">
        <v>1110</v>
      </c>
      <c r="G580" s="211">
        <v>1004</v>
      </c>
      <c r="I580" s="211" t="s">
        <v>3028</v>
      </c>
      <c r="J580" s="212" t="s">
        <v>638</v>
      </c>
      <c r="K580" s="211" t="s">
        <v>639</v>
      </c>
      <c r="L580" s="211" t="s">
        <v>3136</v>
      </c>
      <c r="AD580" s="213"/>
    </row>
    <row r="581" spans="1:30" s="211" customFormat="1" x14ac:dyDescent="0.25">
      <c r="A581" s="211" t="s">
        <v>117</v>
      </c>
      <c r="B581" s="211">
        <v>733</v>
      </c>
      <c r="C581" s="211" t="s">
        <v>394</v>
      </c>
      <c r="D581" s="211">
        <v>1383863</v>
      </c>
      <c r="E581" s="211">
        <v>1060</v>
      </c>
      <c r="F581" s="211">
        <v>1251</v>
      </c>
      <c r="G581" s="211">
        <v>1004</v>
      </c>
      <c r="I581" s="211" t="s">
        <v>3029</v>
      </c>
      <c r="J581" s="212" t="s">
        <v>638</v>
      </c>
      <c r="K581" s="211" t="s">
        <v>639</v>
      </c>
      <c r="L581" s="211" t="s">
        <v>3137</v>
      </c>
      <c r="AD581" s="213"/>
    </row>
    <row r="582" spans="1:30" s="211" customFormat="1" x14ac:dyDescent="0.25">
      <c r="A582" s="211" t="s">
        <v>117</v>
      </c>
      <c r="B582" s="211">
        <v>733</v>
      </c>
      <c r="C582" s="211" t="s">
        <v>394</v>
      </c>
      <c r="D582" s="211">
        <v>192018569</v>
      </c>
      <c r="E582" s="211">
        <v>1060</v>
      </c>
      <c r="F582" s="211">
        <v>1220</v>
      </c>
      <c r="G582" s="211">
        <v>1004</v>
      </c>
      <c r="I582" s="211" t="s">
        <v>1987</v>
      </c>
      <c r="J582" s="212" t="s">
        <v>638</v>
      </c>
      <c r="K582" s="211" t="s">
        <v>524</v>
      </c>
      <c r="L582" s="211" t="s">
        <v>2017</v>
      </c>
      <c r="AD582" s="213"/>
    </row>
    <row r="583" spans="1:30" s="211" customFormat="1" x14ac:dyDescent="0.25">
      <c r="A583" s="211" t="s">
        <v>117</v>
      </c>
      <c r="B583" s="211">
        <v>733</v>
      </c>
      <c r="C583" s="211" t="s">
        <v>394</v>
      </c>
      <c r="D583" s="211">
        <v>504032182</v>
      </c>
      <c r="E583" s="211">
        <v>1080</v>
      </c>
      <c r="G583" s="211">
        <v>1004</v>
      </c>
      <c r="I583" s="211" t="s">
        <v>3030</v>
      </c>
      <c r="J583" s="212" t="s">
        <v>638</v>
      </c>
      <c r="K583" s="211" t="s">
        <v>524</v>
      </c>
      <c r="L583" s="211" t="s">
        <v>3110</v>
      </c>
      <c r="AD583" s="213"/>
    </row>
    <row r="584" spans="1:30" s="211" customFormat="1" x14ac:dyDescent="0.25">
      <c r="A584" s="211" t="s">
        <v>117</v>
      </c>
      <c r="B584" s="211">
        <v>733</v>
      </c>
      <c r="C584" s="211" t="s">
        <v>394</v>
      </c>
      <c r="D584" s="211">
        <v>504032326</v>
      </c>
      <c r="E584" s="211">
        <v>1060</v>
      </c>
      <c r="F584" s="211">
        <v>1251</v>
      </c>
      <c r="G584" s="211">
        <v>1004</v>
      </c>
      <c r="I584" s="211" t="s">
        <v>3545</v>
      </c>
      <c r="J584" s="212" t="s">
        <v>638</v>
      </c>
      <c r="K584" s="211" t="s">
        <v>524</v>
      </c>
      <c r="L584" s="211" t="s">
        <v>3580</v>
      </c>
      <c r="AD584" s="213"/>
    </row>
    <row r="585" spans="1:30" s="211" customFormat="1" x14ac:dyDescent="0.25">
      <c r="A585" s="211" t="s">
        <v>117</v>
      </c>
      <c r="B585" s="211">
        <v>733</v>
      </c>
      <c r="C585" s="211" t="s">
        <v>394</v>
      </c>
      <c r="D585" s="211">
        <v>504032343</v>
      </c>
      <c r="E585" s="211">
        <v>1060</v>
      </c>
      <c r="G585" s="211">
        <v>1004</v>
      </c>
      <c r="I585" s="211" t="s">
        <v>3031</v>
      </c>
      <c r="J585" s="212" t="s">
        <v>638</v>
      </c>
      <c r="K585" s="211" t="s">
        <v>524</v>
      </c>
      <c r="L585" s="211" t="s">
        <v>3111</v>
      </c>
      <c r="AD585" s="213"/>
    </row>
    <row r="586" spans="1:30" s="211" customFormat="1" x14ac:dyDescent="0.25">
      <c r="A586" s="211" t="s">
        <v>117</v>
      </c>
      <c r="B586" s="211">
        <v>733</v>
      </c>
      <c r="C586" s="211" t="s">
        <v>394</v>
      </c>
      <c r="D586" s="211">
        <v>504032344</v>
      </c>
      <c r="E586" s="211">
        <v>1060</v>
      </c>
      <c r="G586" s="211">
        <v>1004</v>
      </c>
      <c r="I586" s="211" t="s">
        <v>3032</v>
      </c>
      <c r="J586" s="212" t="s">
        <v>638</v>
      </c>
      <c r="K586" s="211" t="s">
        <v>524</v>
      </c>
      <c r="L586" s="211" t="s">
        <v>3112</v>
      </c>
      <c r="AD586" s="213"/>
    </row>
    <row r="587" spans="1:30" s="211" customFormat="1" x14ac:dyDescent="0.25">
      <c r="A587" s="211" t="s">
        <v>117</v>
      </c>
      <c r="B587" s="211">
        <v>735</v>
      </c>
      <c r="C587" s="211" t="s">
        <v>396</v>
      </c>
      <c r="D587" s="211">
        <v>191892560</v>
      </c>
      <c r="E587" s="211">
        <v>1060</v>
      </c>
      <c r="F587" s="211">
        <v>1271</v>
      </c>
      <c r="G587" s="211">
        <v>1004</v>
      </c>
      <c r="I587" s="211" t="s">
        <v>1629</v>
      </c>
      <c r="J587" s="212" t="s">
        <v>638</v>
      </c>
      <c r="K587" s="211" t="s">
        <v>524</v>
      </c>
      <c r="L587" s="211" t="s">
        <v>1636</v>
      </c>
      <c r="AD587" s="213"/>
    </row>
    <row r="588" spans="1:30" s="211" customFormat="1" x14ac:dyDescent="0.25">
      <c r="A588" s="211" t="s">
        <v>117</v>
      </c>
      <c r="B588" s="211">
        <v>739</v>
      </c>
      <c r="C588" s="211" t="s">
        <v>400</v>
      </c>
      <c r="D588" s="211">
        <v>191980846</v>
      </c>
      <c r="E588" s="211">
        <v>1060</v>
      </c>
      <c r="F588" s="211">
        <v>1242</v>
      </c>
      <c r="G588" s="211">
        <v>1004</v>
      </c>
      <c r="I588" s="211" t="s">
        <v>3033</v>
      </c>
      <c r="J588" s="212" t="s">
        <v>638</v>
      </c>
      <c r="K588" s="211" t="s">
        <v>524</v>
      </c>
      <c r="L588" s="211" t="s">
        <v>3113</v>
      </c>
      <c r="AD588" s="213"/>
    </row>
    <row r="589" spans="1:30" s="211" customFormat="1" x14ac:dyDescent="0.25">
      <c r="A589" s="211" t="s">
        <v>117</v>
      </c>
      <c r="B589" s="211">
        <v>740</v>
      </c>
      <c r="C589" s="211" t="s">
        <v>401</v>
      </c>
      <c r="D589" s="211">
        <v>191989260</v>
      </c>
      <c r="E589" s="211">
        <v>1060</v>
      </c>
      <c r="G589" s="211">
        <v>1004</v>
      </c>
      <c r="I589" s="211" t="s">
        <v>1854</v>
      </c>
      <c r="J589" s="212" t="s">
        <v>638</v>
      </c>
      <c r="K589" s="211" t="s">
        <v>524</v>
      </c>
      <c r="L589" s="211" t="s">
        <v>1892</v>
      </c>
      <c r="AD589" s="213"/>
    </row>
    <row r="590" spans="1:30" s="211" customFormat="1" x14ac:dyDescent="0.25">
      <c r="A590" s="211" t="s">
        <v>117</v>
      </c>
      <c r="B590" s="211">
        <v>741</v>
      </c>
      <c r="C590" s="211" t="s">
        <v>402</v>
      </c>
      <c r="D590" s="211">
        <v>191989221</v>
      </c>
      <c r="E590" s="211">
        <v>1060</v>
      </c>
      <c r="F590" s="211">
        <v>1274</v>
      </c>
      <c r="G590" s="211">
        <v>1004</v>
      </c>
      <c r="I590" s="211" t="s">
        <v>1448</v>
      </c>
      <c r="J590" s="212" t="s">
        <v>638</v>
      </c>
      <c r="K590" s="211" t="s">
        <v>524</v>
      </c>
      <c r="L590" s="211" t="s">
        <v>1469</v>
      </c>
      <c r="AD590" s="213"/>
    </row>
    <row r="591" spans="1:30" s="211" customFormat="1" x14ac:dyDescent="0.25">
      <c r="A591" s="211" t="s">
        <v>117</v>
      </c>
      <c r="B591" s="211">
        <v>742</v>
      </c>
      <c r="C591" s="211" t="s">
        <v>403</v>
      </c>
      <c r="D591" s="211">
        <v>502057730</v>
      </c>
      <c r="E591" s="211">
        <v>1060</v>
      </c>
      <c r="G591" s="211">
        <v>1004</v>
      </c>
      <c r="I591" s="211" t="s">
        <v>3289</v>
      </c>
      <c r="J591" s="212" t="s">
        <v>638</v>
      </c>
      <c r="K591" s="211" t="s">
        <v>524</v>
      </c>
      <c r="L591" s="211" t="s">
        <v>3341</v>
      </c>
      <c r="AD591" s="213"/>
    </row>
    <row r="592" spans="1:30" s="211" customFormat="1" x14ac:dyDescent="0.25">
      <c r="A592" s="211" t="s">
        <v>117</v>
      </c>
      <c r="B592" s="211">
        <v>743</v>
      </c>
      <c r="C592" s="211" t="s">
        <v>404</v>
      </c>
      <c r="D592" s="211">
        <v>502057814</v>
      </c>
      <c r="E592" s="211">
        <v>1080</v>
      </c>
      <c r="G592" s="211">
        <v>1004</v>
      </c>
      <c r="I592" s="211" t="s">
        <v>3034</v>
      </c>
      <c r="J592" s="212" t="s">
        <v>638</v>
      </c>
      <c r="K592" s="211" t="s">
        <v>524</v>
      </c>
      <c r="L592" s="211" t="s">
        <v>3114</v>
      </c>
      <c r="AD592" s="213"/>
    </row>
    <row r="593" spans="1:30" s="211" customFormat="1" x14ac:dyDescent="0.25">
      <c r="A593" s="211" t="s">
        <v>117</v>
      </c>
      <c r="B593" s="211">
        <v>743</v>
      </c>
      <c r="C593" s="211" t="s">
        <v>404</v>
      </c>
      <c r="D593" s="211">
        <v>502058031</v>
      </c>
      <c r="E593" s="211">
        <v>1060</v>
      </c>
      <c r="F593" s="211">
        <v>1241</v>
      </c>
      <c r="G593" s="211">
        <v>1004</v>
      </c>
      <c r="I593" s="211" t="s">
        <v>3035</v>
      </c>
      <c r="J593" s="212" t="s">
        <v>638</v>
      </c>
      <c r="K593" s="211" t="s">
        <v>524</v>
      </c>
      <c r="L593" s="211" t="s">
        <v>3115</v>
      </c>
      <c r="AD593" s="213"/>
    </row>
    <row r="594" spans="1:30" s="211" customFormat="1" x14ac:dyDescent="0.25">
      <c r="A594" s="211" t="s">
        <v>117</v>
      </c>
      <c r="B594" s="211">
        <v>743</v>
      </c>
      <c r="C594" s="211" t="s">
        <v>404</v>
      </c>
      <c r="D594" s="211">
        <v>502058032</v>
      </c>
      <c r="E594" s="211">
        <v>1060</v>
      </c>
      <c r="G594" s="211">
        <v>1004</v>
      </c>
      <c r="I594" s="211" t="s">
        <v>3036</v>
      </c>
      <c r="J594" s="212" t="s">
        <v>638</v>
      </c>
      <c r="K594" s="211" t="s">
        <v>524</v>
      </c>
      <c r="L594" s="211" t="s">
        <v>3116</v>
      </c>
      <c r="AD594" s="213"/>
    </row>
    <row r="595" spans="1:30" s="211" customFormat="1" x14ac:dyDescent="0.25">
      <c r="A595" s="211" t="s">
        <v>117</v>
      </c>
      <c r="B595" s="211">
        <v>745</v>
      </c>
      <c r="C595" s="211" t="s">
        <v>406</v>
      </c>
      <c r="D595" s="211">
        <v>1387543</v>
      </c>
      <c r="E595" s="211">
        <v>1020</v>
      </c>
      <c r="F595" s="211">
        <v>1110</v>
      </c>
      <c r="G595" s="211">
        <v>1004</v>
      </c>
      <c r="I595" s="211" t="s">
        <v>3290</v>
      </c>
      <c r="J595" s="212" t="s">
        <v>638</v>
      </c>
      <c r="K595" s="211" t="s">
        <v>639</v>
      </c>
      <c r="L595" s="211" t="s">
        <v>3355</v>
      </c>
      <c r="AD595" s="213"/>
    </row>
    <row r="596" spans="1:30" s="211" customFormat="1" x14ac:dyDescent="0.25">
      <c r="A596" s="211" t="s">
        <v>117</v>
      </c>
      <c r="B596" s="211">
        <v>745</v>
      </c>
      <c r="C596" s="211" t="s">
        <v>406</v>
      </c>
      <c r="D596" s="211">
        <v>1387545</v>
      </c>
      <c r="E596" s="211">
        <v>1020</v>
      </c>
      <c r="F596" s="211">
        <v>1110</v>
      </c>
      <c r="G596" s="211">
        <v>1004</v>
      </c>
      <c r="I596" s="211" t="s">
        <v>3291</v>
      </c>
      <c r="J596" s="212" t="s">
        <v>638</v>
      </c>
      <c r="K596" s="211" t="s">
        <v>639</v>
      </c>
      <c r="L596" s="211" t="s">
        <v>3356</v>
      </c>
      <c r="AD596" s="213"/>
    </row>
    <row r="597" spans="1:30" s="211" customFormat="1" x14ac:dyDescent="0.25">
      <c r="A597" s="211" t="s">
        <v>117</v>
      </c>
      <c r="B597" s="211">
        <v>746</v>
      </c>
      <c r="C597" s="211" t="s">
        <v>407</v>
      </c>
      <c r="D597" s="211">
        <v>191957540</v>
      </c>
      <c r="E597" s="211">
        <v>1060</v>
      </c>
      <c r="F597" s="211">
        <v>1274</v>
      </c>
      <c r="G597" s="211">
        <v>1004</v>
      </c>
      <c r="I597" s="211" t="s">
        <v>1330</v>
      </c>
      <c r="J597" s="212" t="s">
        <v>638</v>
      </c>
      <c r="K597" s="211" t="s">
        <v>524</v>
      </c>
      <c r="L597" s="211" t="s">
        <v>1380</v>
      </c>
      <c r="AD597" s="213"/>
    </row>
    <row r="598" spans="1:30" s="211" customFormat="1" x14ac:dyDescent="0.25">
      <c r="A598" s="211" t="s">
        <v>117</v>
      </c>
      <c r="B598" s="211">
        <v>746</v>
      </c>
      <c r="C598" s="211" t="s">
        <v>407</v>
      </c>
      <c r="D598" s="211">
        <v>192019250</v>
      </c>
      <c r="E598" s="211">
        <v>1080</v>
      </c>
      <c r="F598" s="211">
        <v>1274</v>
      </c>
      <c r="G598" s="211">
        <v>1004</v>
      </c>
      <c r="I598" s="211" t="s">
        <v>2717</v>
      </c>
      <c r="J598" s="212" t="s">
        <v>638</v>
      </c>
      <c r="K598" s="211" t="s">
        <v>639</v>
      </c>
      <c r="L598" s="211" t="s">
        <v>2741</v>
      </c>
      <c r="AD598" s="213"/>
    </row>
    <row r="599" spans="1:30" s="211" customFormat="1" x14ac:dyDescent="0.25">
      <c r="A599" s="211" t="s">
        <v>117</v>
      </c>
      <c r="B599" s="211">
        <v>746</v>
      </c>
      <c r="C599" s="211" t="s">
        <v>407</v>
      </c>
      <c r="D599" s="211">
        <v>502058969</v>
      </c>
      <c r="E599" s="211">
        <v>1060</v>
      </c>
      <c r="F599" s="211">
        <v>1271</v>
      </c>
      <c r="G599" s="211">
        <v>1004</v>
      </c>
      <c r="I599" s="211" t="s">
        <v>3780</v>
      </c>
      <c r="J599" s="212" t="s">
        <v>638</v>
      </c>
      <c r="K599" s="211" t="s">
        <v>524</v>
      </c>
      <c r="L599" s="211" t="s">
        <v>3825</v>
      </c>
      <c r="AD599" s="213"/>
    </row>
    <row r="600" spans="1:30" s="211" customFormat="1" x14ac:dyDescent="0.25">
      <c r="A600" s="211" t="s">
        <v>117</v>
      </c>
      <c r="B600" s="211">
        <v>746</v>
      </c>
      <c r="C600" s="211" t="s">
        <v>407</v>
      </c>
      <c r="D600" s="211">
        <v>502059104</v>
      </c>
      <c r="E600" s="211">
        <v>1060</v>
      </c>
      <c r="F600" s="211">
        <v>1251</v>
      </c>
      <c r="G600" s="211">
        <v>1004</v>
      </c>
      <c r="I600" s="211" t="s">
        <v>2604</v>
      </c>
      <c r="J600" s="212" t="s">
        <v>638</v>
      </c>
      <c r="K600" s="211" t="s">
        <v>639</v>
      </c>
      <c r="L600" s="211" t="s">
        <v>2614</v>
      </c>
      <c r="AD600" s="213"/>
    </row>
    <row r="601" spans="1:30" s="211" customFormat="1" x14ac:dyDescent="0.25">
      <c r="A601" s="211" t="s">
        <v>117</v>
      </c>
      <c r="B601" s="211">
        <v>746</v>
      </c>
      <c r="C601" s="211" t="s">
        <v>407</v>
      </c>
      <c r="D601" s="211">
        <v>502059201</v>
      </c>
      <c r="E601" s="211">
        <v>1060</v>
      </c>
      <c r="G601" s="211">
        <v>1004</v>
      </c>
      <c r="I601" s="211" t="s">
        <v>3781</v>
      </c>
      <c r="J601" s="212" t="s">
        <v>638</v>
      </c>
      <c r="K601" s="211" t="s">
        <v>524</v>
      </c>
      <c r="L601" s="211" t="s">
        <v>3826</v>
      </c>
      <c r="AD601" s="213"/>
    </row>
    <row r="602" spans="1:30" s="211" customFormat="1" x14ac:dyDescent="0.25">
      <c r="A602" s="211" t="s">
        <v>117</v>
      </c>
      <c r="B602" s="211">
        <v>746</v>
      </c>
      <c r="C602" s="211" t="s">
        <v>407</v>
      </c>
      <c r="D602" s="211">
        <v>502059202</v>
      </c>
      <c r="E602" s="211">
        <v>1060</v>
      </c>
      <c r="G602" s="211">
        <v>1004</v>
      </c>
      <c r="I602" s="211" t="s">
        <v>3782</v>
      </c>
      <c r="J602" s="212" t="s">
        <v>638</v>
      </c>
      <c r="K602" s="211" t="s">
        <v>524</v>
      </c>
      <c r="L602" s="211" t="s">
        <v>3827</v>
      </c>
      <c r="AD602" s="213"/>
    </row>
    <row r="603" spans="1:30" s="211" customFormat="1" x14ac:dyDescent="0.25">
      <c r="A603" s="211" t="s">
        <v>117</v>
      </c>
      <c r="B603" s="211">
        <v>747</v>
      </c>
      <c r="C603" s="211" t="s">
        <v>408</v>
      </c>
      <c r="D603" s="211">
        <v>502059385</v>
      </c>
      <c r="E603" s="211">
        <v>1060</v>
      </c>
      <c r="G603" s="211">
        <v>1004</v>
      </c>
      <c r="I603" s="211" t="s">
        <v>3037</v>
      </c>
      <c r="J603" s="212" t="s">
        <v>638</v>
      </c>
      <c r="K603" s="211" t="s">
        <v>524</v>
      </c>
      <c r="L603" s="211" t="s">
        <v>3117</v>
      </c>
      <c r="AD603" s="213"/>
    </row>
    <row r="604" spans="1:30" s="211" customFormat="1" x14ac:dyDescent="0.25">
      <c r="A604" s="211" t="s">
        <v>117</v>
      </c>
      <c r="B604" s="211">
        <v>747</v>
      </c>
      <c r="C604" s="211" t="s">
        <v>408</v>
      </c>
      <c r="D604" s="211">
        <v>502059403</v>
      </c>
      <c r="E604" s="211">
        <v>1060</v>
      </c>
      <c r="F604" s="211">
        <v>1274</v>
      </c>
      <c r="G604" s="211">
        <v>1004</v>
      </c>
      <c r="I604" s="211" t="s">
        <v>1855</v>
      </c>
      <c r="J604" s="212" t="s">
        <v>638</v>
      </c>
      <c r="K604" s="211" t="s">
        <v>524</v>
      </c>
      <c r="L604" s="211" t="s">
        <v>1893</v>
      </c>
      <c r="AD604" s="213"/>
    </row>
    <row r="605" spans="1:30" s="211" customFormat="1" x14ac:dyDescent="0.25">
      <c r="A605" s="211" t="s">
        <v>117</v>
      </c>
      <c r="B605" s="211">
        <v>748</v>
      </c>
      <c r="C605" s="211" t="s">
        <v>409</v>
      </c>
      <c r="D605" s="211">
        <v>191360670</v>
      </c>
      <c r="E605" s="211">
        <v>1030</v>
      </c>
      <c r="F605" s="211">
        <v>1121</v>
      </c>
      <c r="G605" s="211">
        <v>1004</v>
      </c>
      <c r="I605" s="211" t="s">
        <v>3783</v>
      </c>
      <c r="J605" s="212" t="s">
        <v>638</v>
      </c>
      <c r="K605" s="211" t="s">
        <v>639</v>
      </c>
      <c r="L605" s="211" t="s">
        <v>3842</v>
      </c>
      <c r="AD605" s="213"/>
    </row>
    <row r="606" spans="1:30" s="211" customFormat="1" x14ac:dyDescent="0.25">
      <c r="A606" s="211" t="s">
        <v>117</v>
      </c>
      <c r="B606" s="211">
        <v>748</v>
      </c>
      <c r="C606" s="211" t="s">
        <v>409</v>
      </c>
      <c r="D606" s="211">
        <v>504032721</v>
      </c>
      <c r="E606" s="211">
        <v>1060</v>
      </c>
      <c r="F606" s="211">
        <v>1271</v>
      </c>
      <c r="G606" s="211">
        <v>1004</v>
      </c>
      <c r="I606" s="211" t="s">
        <v>2852</v>
      </c>
      <c r="J606" s="212" t="s">
        <v>638</v>
      </c>
      <c r="K606" s="211" t="s">
        <v>524</v>
      </c>
      <c r="L606" s="211" t="s">
        <v>2875</v>
      </c>
      <c r="AD606" s="213"/>
    </row>
    <row r="607" spans="1:30" s="211" customFormat="1" x14ac:dyDescent="0.25">
      <c r="A607" s="211" t="s">
        <v>117</v>
      </c>
      <c r="B607" s="211">
        <v>749</v>
      </c>
      <c r="C607" s="211" t="s">
        <v>410</v>
      </c>
      <c r="D607" s="211">
        <v>190197418</v>
      </c>
      <c r="E607" s="211">
        <v>1060</v>
      </c>
      <c r="F607" s="211">
        <v>1242</v>
      </c>
      <c r="G607" s="211">
        <v>1004</v>
      </c>
      <c r="I607" s="211" t="s">
        <v>1582</v>
      </c>
      <c r="J607" s="212" t="s">
        <v>638</v>
      </c>
      <c r="K607" s="211" t="s">
        <v>524</v>
      </c>
      <c r="L607" s="211" t="s">
        <v>1588</v>
      </c>
      <c r="AD607" s="213"/>
    </row>
    <row r="608" spans="1:30" s="211" customFormat="1" x14ac:dyDescent="0.25">
      <c r="A608" s="211" t="s">
        <v>117</v>
      </c>
      <c r="B608" s="211">
        <v>749</v>
      </c>
      <c r="C608" s="211" t="s">
        <v>410</v>
      </c>
      <c r="D608" s="211">
        <v>191961833</v>
      </c>
      <c r="E608" s="211">
        <v>1060</v>
      </c>
      <c r="F608" s="211">
        <v>1274</v>
      </c>
      <c r="G608" s="211">
        <v>1003</v>
      </c>
      <c r="I608" s="211" t="s">
        <v>1603</v>
      </c>
      <c r="J608" s="212" t="s">
        <v>638</v>
      </c>
      <c r="K608" s="211" t="s">
        <v>524</v>
      </c>
      <c r="L608" s="211" t="s">
        <v>1612</v>
      </c>
      <c r="AD608" s="213"/>
    </row>
    <row r="609" spans="1:30" s="211" customFormat="1" x14ac:dyDescent="0.25">
      <c r="A609" s="211" t="s">
        <v>117</v>
      </c>
      <c r="B609" s="211">
        <v>750</v>
      </c>
      <c r="C609" s="211" t="s">
        <v>411</v>
      </c>
      <c r="D609" s="211">
        <v>192033949</v>
      </c>
      <c r="E609" s="211">
        <v>1060</v>
      </c>
      <c r="F609" s="211">
        <v>1242</v>
      </c>
      <c r="G609" s="211">
        <v>1004</v>
      </c>
      <c r="I609" s="211" t="s">
        <v>2551</v>
      </c>
      <c r="J609" s="212" t="s">
        <v>638</v>
      </c>
      <c r="K609" s="211" t="s">
        <v>524</v>
      </c>
      <c r="L609" s="211" t="s">
        <v>2540</v>
      </c>
      <c r="AD609" s="213"/>
    </row>
    <row r="610" spans="1:30" s="211" customFormat="1" x14ac:dyDescent="0.25">
      <c r="A610" s="211" t="s">
        <v>117</v>
      </c>
      <c r="B610" s="211">
        <v>750</v>
      </c>
      <c r="C610" s="211" t="s">
        <v>411</v>
      </c>
      <c r="D610" s="211">
        <v>192034239</v>
      </c>
      <c r="E610" s="211">
        <v>1060</v>
      </c>
      <c r="F610" s="211">
        <v>1242</v>
      </c>
      <c r="G610" s="211">
        <v>1004</v>
      </c>
      <c r="I610" s="211" t="s">
        <v>2552</v>
      </c>
      <c r="J610" s="212" t="s">
        <v>638</v>
      </c>
      <c r="K610" s="211" t="s">
        <v>524</v>
      </c>
      <c r="L610" s="211" t="s">
        <v>2566</v>
      </c>
      <c r="AD610" s="213"/>
    </row>
    <row r="611" spans="1:30" s="211" customFormat="1" x14ac:dyDescent="0.25">
      <c r="A611" s="211" t="s">
        <v>117</v>
      </c>
      <c r="B611" s="211">
        <v>751</v>
      </c>
      <c r="C611" s="211" t="s">
        <v>412</v>
      </c>
      <c r="D611" s="211">
        <v>192001290</v>
      </c>
      <c r="E611" s="211">
        <v>1060</v>
      </c>
      <c r="F611" s="211">
        <v>1252</v>
      </c>
      <c r="G611" s="211">
        <v>1004</v>
      </c>
      <c r="I611" s="211" t="s">
        <v>1666</v>
      </c>
      <c r="J611" s="212" t="s">
        <v>638</v>
      </c>
      <c r="K611" s="211" t="s">
        <v>639</v>
      </c>
      <c r="L611" s="211" t="s">
        <v>1670</v>
      </c>
      <c r="AD611" s="213"/>
    </row>
    <row r="612" spans="1:30" s="211" customFormat="1" x14ac:dyDescent="0.25">
      <c r="A612" s="211" t="s">
        <v>117</v>
      </c>
      <c r="B612" s="211">
        <v>751</v>
      </c>
      <c r="C612" s="211" t="s">
        <v>412</v>
      </c>
      <c r="D612" s="211">
        <v>192001291</v>
      </c>
      <c r="E612" s="211">
        <v>1060</v>
      </c>
      <c r="F612" s="211">
        <v>1252</v>
      </c>
      <c r="G612" s="211">
        <v>1004</v>
      </c>
      <c r="I612" s="211" t="s">
        <v>1667</v>
      </c>
      <c r="J612" s="212" t="s">
        <v>638</v>
      </c>
      <c r="K612" s="211" t="s">
        <v>639</v>
      </c>
      <c r="L612" s="211" t="s">
        <v>1670</v>
      </c>
      <c r="AD612" s="213"/>
    </row>
    <row r="613" spans="1:30" s="211" customFormat="1" x14ac:dyDescent="0.25">
      <c r="A613" s="211" t="s">
        <v>117</v>
      </c>
      <c r="B613" s="211">
        <v>751</v>
      </c>
      <c r="C613" s="211" t="s">
        <v>412</v>
      </c>
      <c r="D613" s="211">
        <v>192028612</v>
      </c>
      <c r="E613" s="211">
        <v>1080</v>
      </c>
      <c r="F613" s="211">
        <v>1274</v>
      </c>
      <c r="G613" s="211">
        <v>1003</v>
      </c>
      <c r="I613" s="211" t="s">
        <v>2328</v>
      </c>
      <c r="J613" s="212" t="s">
        <v>638</v>
      </c>
      <c r="K613" s="211" t="s">
        <v>524</v>
      </c>
      <c r="L613" s="211" t="s">
        <v>2334</v>
      </c>
      <c r="AD613" s="213"/>
    </row>
    <row r="614" spans="1:30" s="211" customFormat="1" x14ac:dyDescent="0.25">
      <c r="A614" s="211" t="s">
        <v>117</v>
      </c>
      <c r="B614" s="211">
        <v>751</v>
      </c>
      <c r="C614" s="211" t="s">
        <v>412</v>
      </c>
      <c r="D614" s="211">
        <v>192028615</v>
      </c>
      <c r="E614" s="211">
        <v>1080</v>
      </c>
      <c r="F614" s="211">
        <v>1274</v>
      </c>
      <c r="G614" s="211">
        <v>1003</v>
      </c>
      <c r="I614" s="211" t="s">
        <v>2329</v>
      </c>
      <c r="J614" s="212" t="s">
        <v>638</v>
      </c>
      <c r="K614" s="211" t="s">
        <v>524</v>
      </c>
      <c r="L614" s="211" t="s">
        <v>2335</v>
      </c>
      <c r="AD614" s="213"/>
    </row>
    <row r="615" spans="1:30" s="211" customFormat="1" x14ac:dyDescent="0.25">
      <c r="A615" s="211" t="s">
        <v>117</v>
      </c>
      <c r="B615" s="211">
        <v>751</v>
      </c>
      <c r="C615" s="211" t="s">
        <v>412</v>
      </c>
      <c r="D615" s="211">
        <v>192028682</v>
      </c>
      <c r="E615" s="211">
        <v>1020</v>
      </c>
      <c r="F615" s="211">
        <v>1110</v>
      </c>
      <c r="G615" s="211">
        <v>1004</v>
      </c>
      <c r="I615" s="211" t="s">
        <v>2330</v>
      </c>
      <c r="J615" s="212" t="s">
        <v>638</v>
      </c>
      <c r="K615" s="211" t="s">
        <v>639</v>
      </c>
      <c r="L615" s="211" t="s">
        <v>2336</v>
      </c>
      <c r="AD615" s="213"/>
    </row>
    <row r="616" spans="1:30" s="211" customFormat="1" x14ac:dyDescent="0.25">
      <c r="A616" s="211" t="s">
        <v>117</v>
      </c>
      <c r="B616" s="211">
        <v>754</v>
      </c>
      <c r="C616" s="211" t="s">
        <v>413</v>
      </c>
      <c r="D616" s="211">
        <v>191970178</v>
      </c>
      <c r="E616" s="211">
        <v>1020</v>
      </c>
      <c r="F616" s="211">
        <v>1110</v>
      </c>
      <c r="G616" s="211">
        <v>1004</v>
      </c>
      <c r="I616" s="211" t="s">
        <v>1856</v>
      </c>
      <c r="J616" s="212" t="s">
        <v>638</v>
      </c>
      <c r="K616" s="211" t="s">
        <v>639</v>
      </c>
      <c r="L616" s="211" t="s">
        <v>2087</v>
      </c>
      <c r="AD616" s="213"/>
    </row>
    <row r="617" spans="1:30" s="211" customFormat="1" x14ac:dyDescent="0.25">
      <c r="A617" s="211" t="s">
        <v>117</v>
      </c>
      <c r="B617" s="211">
        <v>754</v>
      </c>
      <c r="C617" s="211" t="s">
        <v>413</v>
      </c>
      <c r="D617" s="211">
        <v>192027929</v>
      </c>
      <c r="E617" s="211">
        <v>1020</v>
      </c>
      <c r="F617" s="211">
        <v>1110</v>
      </c>
      <c r="G617" s="211">
        <v>1004</v>
      </c>
      <c r="I617" s="211" t="s">
        <v>2319</v>
      </c>
      <c r="J617" s="212" t="s">
        <v>638</v>
      </c>
      <c r="K617" s="211" t="s">
        <v>524</v>
      </c>
      <c r="L617" s="211" t="s">
        <v>2323</v>
      </c>
      <c r="AD617" s="213"/>
    </row>
    <row r="618" spans="1:30" s="211" customFormat="1" x14ac:dyDescent="0.25">
      <c r="A618" s="211" t="s">
        <v>117</v>
      </c>
      <c r="B618" s="211">
        <v>754</v>
      </c>
      <c r="C618" s="211" t="s">
        <v>413</v>
      </c>
      <c r="D618" s="211">
        <v>504037215</v>
      </c>
      <c r="E618" s="211">
        <v>1060</v>
      </c>
      <c r="G618" s="211">
        <v>1004</v>
      </c>
      <c r="I618" s="211" t="s">
        <v>1857</v>
      </c>
      <c r="J618" s="212" t="s">
        <v>638</v>
      </c>
      <c r="K618" s="211" t="s">
        <v>639</v>
      </c>
      <c r="L618" s="211" t="s">
        <v>1918</v>
      </c>
      <c r="AD618" s="213"/>
    </row>
    <row r="619" spans="1:30" s="211" customFormat="1" x14ac:dyDescent="0.25">
      <c r="A619" s="211" t="s">
        <v>117</v>
      </c>
      <c r="B619" s="211">
        <v>755</v>
      </c>
      <c r="C619" s="211" t="s">
        <v>414</v>
      </c>
      <c r="D619" s="211">
        <v>191492838</v>
      </c>
      <c r="E619" s="211">
        <v>1060</v>
      </c>
      <c r="F619" s="211">
        <v>1242</v>
      </c>
      <c r="G619" s="211">
        <v>1004</v>
      </c>
      <c r="I619" s="211" t="s">
        <v>725</v>
      </c>
      <c r="J619" s="212" t="s">
        <v>638</v>
      </c>
      <c r="K619" s="211" t="s">
        <v>524</v>
      </c>
      <c r="L619" s="211" t="s">
        <v>891</v>
      </c>
      <c r="AD619" s="213"/>
    </row>
    <row r="620" spans="1:30" s="211" customFormat="1" x14ac:dyDescent="0.25">
      <c r="A620" s="211" t="s">
        <v>117</v>
      </c>
      <c r="B620" s="211">
        <v>755</v>
      </c>
      <c r="C620" s="211" t="s">
        <v>414</v>
      </c>
      <c r="D620" s="211">
        <v>191968770</v>
      </c>
      <c r="E620" s="211">
        <v>1060</v>
      </c>
      <c r="F620" s="211">
        <v>1274</v>
      </c>
      <c r="G620" s="211">
        <v>1004</v>
      </c>
      <c r="I620" s="211" t="s">
        <v>2130</v>
      </c>
      <c r="J620" s="212" t="s">
        <v>638</v>
      </c>
      <c r="K620" s="211" t="s">
        <v>524</v>
      </c>
      <c r="L620" s="211" t="s">
        <v>2140</v>
      </c>
      <c r="AD620" s="213"/>
    </row>
    <row r="621" spans="1:30" s="211" customFormat="1" x14ac:dyDescent="0.25">
      <c r="A621" s="211" t="s">
        <v>117</v>
      </c>
      <c r="B621" s="211">
        <v>761</v>
      </c>
      <c r="C621" s="211" t="s">
        <v>416</v>
      </c>
      <c r="D621" s="211">
        <v>192016091</v>
      </c>
      <c r="E621" s="211">
        <v>1060</v>
      </c>
      <c r="F621" s="211">
        <v>1274</v>
      </c>
      <c r="G621" s="211">
        <v>1004</v>
      </c>
      <c r="I621" s="211" t="s">
        <v>3376</v>
      </c>
      <c r="J621" s="212" t="s">
        <v>638</v>
      </c>
      <c r="K621" s="211" t="s">
        <v>639</v>
      </c>
      <c r="L621" s="211" t="s">
        <v>3422</v>
      </c>
      <c r="AD621" s="213"/>
    </row>
    <row r="622" spans="1:30" s="211" customFormat="1" x14ac:dyDescent="0.25">
      <c r="A622" s="211" t="s">
        <v>117</v>
      </c>
      <c r="B622" s="211">
        <v>761</v>
      </c>
      <c r="C622" s="211" t="s">
        <v>416</v>
      </c>
      <c r="D622" s="211">
        <v>192047253</v>
      </c>
      <c r="E622" s="211">
        <v>1060</v>
      </c>
      <c r="F622" s="211">
        <v>1271</v>
      </c>
      <c r="G622" s="211">
        <v>1004</v>
      </c>
      <c r="I622" s="211" t="s">
        <v>3160</v>
      </c>
      <c r="J622" s="212" t="s">
        <v>638</v>
      </c>
      <c r="K622" s="211" t="s">
        <v>524</v>
      </c>
      <c r="L622" s="211" t="s">
        <v>3186</v>
      </c>
      <c r="AD622" s="213"/>
    </row>
    <row r="623" spans="1:30" s="211" customFormat="1" x14ac:dyDescent="0.25">
      <c r="A623" s="211" t="s">
        <v>117</v>
      </c>
      <c r="B623" s="211">
        <v>762</v>
      </c>
      <c r="C623" s="211" t="s">
        <v>417</v>
      </c>
      <c r="D623" s="211">
        <v>1392017</v>
      </c>
      <c r="E623" s="211">
        <v>1030</v>
      </c>
      <c r="F623" s="211">
        <v>1121</v>
      </c>
      <c r="G623" s="211">
        <v>1004</v>
      </c>
      <c r="I623" s="211" t="s">
        <v>1331</v>
      </c>
      <c r="J623" s="212" t="s">
        <v>638</v>
      </c>
      <c r="K623" s="211" t="s">
        <v>524</v>
      </c>
      <c r="L623" s="211" t="s">
        <v>1381</v>
      </c>
      <c r="AD623" s="213"/>
    </row>
    <row r="624" spans="1:30" s="211" customFormat="1" x14ac:dyDescent="0.25">
      <c r="A624" s="211" t="s">
        <v>117</v>
      </c>
      <c r="B624" s="211">
        <v>762</v>
      </c>
      <c r="C624" s="211" t="s">
        <v>417</v>
      </c>
      <c r="D624" s="211">
        <v>190185189</v>
      </c>
      <c r="E624" s="211">
        <v>1040</v>
      </c>
      <c r="F624" s="211">
        <v>1271</v>
      </c>
      <c r="G624" s="211">
        <v>1004</v>
      </c>
      <c r="I624" s="211" t="s">
        <v>1332</v>
      </c>
      <c r="J624" s="212" t="s">
        <v>638</v>
      </c>
      <c r="K624" s="211" t="s">
        <v>524</v>
      </c>
      <c r="L624" s="211" t="s">
        <v>1382</v>
      </c>
      <c r="AD624" s="213"/>
    </row>
    <row r="625" spans="1:30" s="211" customFormat="1" x14ac:dyDescent="0.25">
      <c r="A625" s="211" t="s">
        <v>117</v>
      </c>
      <c r="B625" s="211">
        <v>762</v>
      </c>
      <c r="C625" s="211" t="s">
        <v>417</v>
      </c>
      <c r="D625" s="211">
        <v>190691669</v>
      </c>
      <c r="E625" s="211">
        <v>1060</v>
      </c>
      <c r="F625" s="211">
        <v>1271</v>
      </c>
      <c r="G625" s="211">
        <v>1004</v>
      </c>
      <c r="I625" s="211" t="s">
        <v>1333</v>
      </c>
      <c r="J625" s="212" t="s">
        <v>638</v>
      </c>
      <c r="K625" s="211" t="s">
        <v>524</v>
      </c>
      <c r="L625" s="211" t="s">
        <v>1383</v>
      </c>
      <c r="AD625" s="213"/>
    </row>
    <row r="626" spans="1:30" s="211" customFormat="1" x14ac:dyDescent="0.25">
      <c r="A626" s="211" t="s">
        <v>117</v>
      </c>
      <c r="B626" s="211">
        <v>762</v>
      </c>
      <c r="C626" s="211" t="s">
        <v>417</v>
      </c>
      <c r="D626" s="211">
        <v>190855773</v>
      </c>
      <c r="E626" s="211">
        <v>1080</v>
      </c>
      <c r="F626" s="211">
        <v>1274</v>
      </c>
      <c r="G626" s="211">
        <v>1004</v>
      </c>
      <c r="I626" s="211" t="s">
        <v>1334</v>
      </c>
      <c r="J626" s="212" t="s">
        <v>638</v>
      </c>
      <c r="K626" s="211" t="s">
        <v>524</v>
      </c>
      <c r="L626" s="211" t="s">
        <v>1384</v>
      </c>
      <c r="AD626" s="213"/>
    </row>
    <row r="627" spans="1:30" s="211" customFormat="1" x14ac:dyDescent="0.25">
      <c r="A627" s="211" t="s">
        <v>117</v>
      </c>
      <c r="B627" s="211">
        <v>762</v>
      </c>
      <c r="C627" s="211" t="s">
        <v>417</v>
      </c>
      <c r="D627" s="211">
        <v>191104511</v>
      </c>
      <c r="E627" s="211">
        <v>1060</v>
      </c>
      <c r="F627" s="211">
        <v>1242</v>
      </c>
      <c r="G627" s="211">
        <v>1004</v>
      </c>
      <c r="I627" s="211" t="s">
        <v>2131</v>
      </c>
      <c r="J627" s="212" t="s">
        <v>638</v>
      </c>
      <c r="K627" s="211" t="s">
        <v>524</v>
      </c>
      <c r="L627" s="211" t="s">
        <v>2141</v>
      </c>
      <c r="AD627" s="213"/>
    </row>
    <row r="628" spans="1:30" s="211" customFormat="1" x14ac:dyDescent="0.25">
      <c r="A628" s="211" t="s">
        <v>117</v>
      </c>
      <c r="B628" s="211">
        <v>762</v>
      </c>
      <c r="C628" s="211" t="s">
        <v>417</v>
      </c>
      <c r="D628" s="211">
        <v>191127990</v>
      </c>
      <c r="E628" s="211">
        <v>1060</v>
      </c>
      <c r="F628" s="211">
        <v>1271</v>
      </c>
      <c r="G628" s="211">
        <v>1004</v>
      </c>
      <c r="I628" s="211" t="s">
        <v>1335</v>
      </c>
      <c r="J628" s="212" t="s">
        <v>638</v>
      </c>
      <c r="K628" s="211" t="s">
        <v>524</v>
      </c>
      <c r="L628" s="211" t="s">
        <v>1385</v>
      </c>
      <c r="AD628" s="213"/>
    </row>
    <row r="629" spans="1:30" s="211" customFormat="1" x14ac:dyDescent="0.25">
      <c r="A629" s="211" t="s">
        <v>117</v>
      </c>
      <c r="B629" s="211">
        <v>762</v>
      </c>
      <c r="C629" s="211" t="s">
        <v>417</v>
      </c>
      <c r="D629" s="211">
        <v>191128232</v>
      </c>
      <c r="E629" s="211">
        <v>1060</v>
      </c>
      <c r="F629" s="211">
        <v>1271</v>
      </c>
      <c r="G629" s="211">
        <v>1004</v>
      </c>
      <c r="I629" s="211" t="s">
        <v>1336</v>
      </c>
      <c r="J629" s="212" t="s">
        <v>638</v>
      </c>
      <c r="K629" s="211" t="s">
        <v>524</v>
      </c>
      <c r="L629" s="211" t="s">
        <v>1386</v>
      </c>
      <c r="AD629" s="213"/>
    </row>
    <row r="630" spans="1:30" s="211" customFormat="1" x14ac:dyDescent="0.25">
      <c r="A630" s="211" t="s">
        <v>117</v>
      </c>
      <c r="B630" s="211">
        <v>762</v>
      </c>
      <c r="C630" s="211" t="s">
        <v>417</v>
      </c>
      <c r="D630" s="211">
        <v>191135196</v>
      </c>
      <c r="E630" s="211">
        <v>1060</v>
      </c>
      <c r="F630" s="211">
        <v>1274</v>
      </c>
      <c r="G630" s="211">
        <v>1004</v>
      </c>
      <c r="I630" s="211" t="s">
        <v>1337</v>
      </c>
      <c r="J630" s="212" t="s">
        <v>638</v>
      </c>
      <c r="K630" s="211" t="s">
        <v>524</v>
      </c>
      <c r="L630" s="211" t="s">
        <v>1387</v>
      </c>
      <c r="AD630" s="213"/>
    </row>
    <row r="631" spans="1:30" s="211" customFormat="1" x14ac:dyDescent="0.25">
      <c r="A631" s="211" t="s">
        <v>117</v>
      </c>
      <c r="B631" s="211">
        <v>762</v>
      </c>
      <c r="C631" s="211" t="s">
        <v>417</v>
      </c>
      <c r="D631" s="211">
        <v>191135197</v>
      </c>
      <c r="E631" s="211">
        <v>1060</v>
      </c>
      <c r="F631" s="211">
        <v>1241</v>
      </c>
      <c r="G631" s="211">
        <v>1004</v>
      </c>
      <c r="I631" s="211" t="s">
        <v>1338</v>
      </c>
      <c r="J631" s="212" t="s">
        <v>638</v>
      </c>
      <c r="K631" s="211" t="s">
        <v>524</v>
      </c>
      <c r="L631" s="211" t="s">
        <v>1388</v>
      </c>
      <c r="AD631" s="213"/>
    </row>
    <row r="632" spans="1:30" s="211" customFormat="1" x14ac:dyDescent="0.25">
      <c r="A632" s="211" t="s">
        <v>117</v>
      </c>
      <c r="B632" s="211">
        <v>762</v>
      </c>
      <c r="C632" s="211" t="s">
        <v>417</v>
      </c>
      <c r="D632" s="211">
        <v>191136121</v>
      </c>
      <c r="E632" s="211">
        <v>1060</v>
      </c>
      <c r="F632" s="211">
        <v>1271</v>
      </c>
      <c r="G632" s="211">
        <v>1004</v>
      </c>
      <c r="I632" s="211" t="s">
        <v>1339</v>
      </c>
      <c r="J632" s="212" t="s">
        <v>638</v>
      </c>
      <c r="K632" s="211" t="s">
        <v>524</v>
      </c>
      <c r="L632" s="211" t="s">
        <v>1389</v>
      </c>
      <c r="AD632" s="213"/>
    </row>
    <row r="633" spans="1:30" s="211" customFormat="1" x14ac:dyDescent="0.25">
      <c r="A633" s="211" t="s">
        <v>117</v>
      </c>
      <c r="B633" s="211">
        <v>762</v>
      </c>
      <c r="C633" s="211" t="s">
        <v>417</v>
      </c>
      <c r="D633" s="211">
        <v>191136151</v>
      </c>
      <c r="E633" s="211">
        <v>1060</v>
      </c>
      <c r="F633" s="211">
        <v>1252</v>
      </c>
      <c r="G633" s="211">
        <v>1004</v>
      </c>
      <c r="I633" s="211" t="s">
        <v>1340</v>
      </c>
      <c r="J633" s="212" t="s">
        <v>638</v>
      </c>
      <c r="K633" s="211" t="s">
        <v>524</v>
      </c>
      <c r="L633" s="211" t="s">
        <v>1390</v>
      </c>
      <c r="AD633" s="213"/>
    </row>
    <row r="634" spans="1:30" s="211" customFormat="1" x14ac:dyDescent="0.25">
      <c r="A634" s="211" t="s">
        <v>117</v>
      </c>
      <c r="B634" s="211">
        <v>762</v>
      </c>
      <c r="C634" s="211" t="s">
        <v>417</v>
      </c>
      <c r="D634" s="211">
        <v>191136252</v>
      </c>
      <c r="E634" s="211">
        <v>1060</v>
      </c>
      <c r="F634" s="211">
        <v>1252</v>
      </c>
      <c r="G634" s="211">
        <v>1004</v>
      </c>
      <c r="I634" s="211" t="s">
        <v>1341</v>
      </c>
      <c r="J634" s="212" t="s">
        <v>638</v>
      </c>
      <c r="K634" s="211" t="s">
        <v>524</v>
      </c>
      <c r="L634" s="211" t="s">
        <v>1391</v>
      </c>
      <c r="AD634" s="213"/>
    </row>
    <row r="635" spans="1:30" s="211" customFormat="1" x14ac:dyDescent="0.25">
      <c r="A635" s="211" t="s">
        <v>117</v>
      </c>
      <c r="B635" s="211">
        <v>762</v>
      </c>
      <c r="C635" s="211" t="s">
        <v>417</v>
      </c>
      <c r="D635" s="211">
        <v>191140192</v>
      </c>
      <c r="E635" s="211">
        <v>1040</v>
      </c>
      <c r="F635" s="211">
        <v>1271</v>
      </c>
      <c r="G635" s="211">
        <v>1004</v>
      </c>
      <c r="I635" s="211" t="s">
        <v>1342</v>
      </c>
      <c r="J635" s="212" t="s">
        <v>638</v>
      </c>
      <c r="K635" s="211" t="s">
        <v>524</v>
      </c>
      <c r="L635" s="211" t="s">
        <v>1392</v>
      </c>
      <c r="AD635" s="213"/>
    </row>
    <row r="636" spans="1:30" s="211" customFormat="1" x14ac:dyDescent="0.25">
      <c r="A636" s="211" t="s">
        <v>117</v>
      </c>
      <c r="B636" s="211">
        <v>762</v>
      </c>
      <c r="C636" s="211" t="s">
        <v>417</v>
      </c>
      <c r="D636" s="211">
        <v>191140276</v>
      </c>
      <c r="E636" s="211">
        <v>1040</v>
      </c>
      <c r="F636" s="211">
        <v>1271</v>
      </c>
      <c r="G636" s="211">
        <v>1004</v>
      </c>
      <c r="I636" s="211" t="s">
        <v>726</v>
      </c>
      <c r="J636" s="212" t="s">
        <v>638</v>
      </c>
      <c r="K636" s="211" t="s">
        <v>526</v>
      </c>
      <c r="L636" s="211" t="s">
        <v>833</v>
      </c>
      <c r="AD636" s="213"/>
    </row>
    <row r="637" spans="1:30" s="211" customFormat="1" x14ac:dyDescent="0.25">
      <c r="A637" s="211" t="s">
        <v>117</v>
      </c>
      <c r="B637" s="211">
        <v>762</v>
      </c>
      <c r="C637" s="211" t="s">
        <v>417</v>
      </c>
      <c r="D637" s="211">
        <v>191140278</v>
      </c>
      <c r="E637" s="211">
        <v>1060</v>
      </c>
      <c r="F637" s="211">
        <v>1271</v>
      </c>
      <c r="G637" s="211">
        <v>1004</v>
      </c>
      <c r="I637" s="211" t="s">
        <v>727</v>
      </c>
      <c r="J637" s="212" t="s">
        <v>638</v>
      </c>
      <c r="K637" s="211" t="s">
        <v>526</v>
      </c>
      <c r="L637" s="211" t="s">
        <v>833</v>
      </c>
      <c r="AD637" s="213"/>
    </row>
    <row r="638" spans="1:30" s="211" customFormat="1" x14ac:dyDescent="0.25">
      <c r="A638" s="211" t="s">
        <v>117</v>
      </c>
      <c r="B638" s="211">
        <v>762</v>
      </c>
      <c r="C638" s="211" t="s">
        <v>417</v>
      </c>
      <c r="D638" s="211">
        <v>191140991</v>
      </c>
      <c r="E638" s="211">
        <v>1040</v>
      </c>
      <c r="F638" s="211">
        <v>1271</v>
      </c>
      <c r="G638" s="211">
        <v>1004</v>
      </c>
      <c r="I638" s="211" t="s">
        <v>1343</v>
      </c>
      <c r="J638" s="212" t="s">
        <v>638</v>
      </c>
      <c r="K638" s="211" t="s">
        <v>524</v>
      </c>
      <c r="L638" s="211" t="s">
        <v>1393</v>
      </c>
      <c r="AD638" s="213"/>
    </row>
    <row r="639" spans="1:30" s="211" customFormat="1" x14ac:dyDescent="0.25">
      <c r="A639" s="211" t="s">
        <v>117</v>
      </c>
      <c r="B639" s="211">
        <v>762</v>
      </c>
      <c r="C639" s="211" t="s">
        <v>417</v>
      </c>
      <c r="D639" s="211">
        <v>191387570</v>
      </c>
      <c r="E639" s="211">
        <v>1060</v>
      </c>
      <c r="F639" s="211">
        <v>1271</v>
      </c>
      <c r="G639" s="211">
        <v>1004</v>
      </c>
      <c r="I639" s="211" t="s">
        <v>1344</v>
      </c>
      <c r="J639" s="212" t="s">
        <v>638</v>
      </c>
      <c r="K639" s="211" t="s">
        <v>524</v>
      </c>
      <c r="L639" s="211" t="s">
        <v>1394</v>
      </c>
      <c r="AD639" s="213"/>
    </row>
    <row r="640" spans="1:30" s="211" customFormat="1" x14ac:dyDescent="0.25">
      <c r="A640" s="211" t="s">
        <v>117</v>
      </c>
      <c r="B640" s="211">
        <v>762</v>
      </c>
      <c r="C640" s="211" t="s">
        <v>417</v>
      </c>
      <c r="D640" s="211">
        <v>191636233</v>
      </c>
      <c r="E640" s="211">
        <v>1060</v>
      </c>
      <c r="F640" s="211">
        <v>1242</v>
      </c>
      <c r="G640" s="211">
        <v>1004</v>
      </c>
      <c r="I640" s="211" t="s">
        <v>1345</v>
      </c>
      <c r="J640" s="212" t="s">
        <v>638</v>
      </c>
      <c r="K640" s="211" t="s">
        <v>524</v>
      </c>
      <c r="L640" s="211" t="s">
        <v>1395</v>
      </c>
      <c r="AD640" s="213"/>
    </row>
    <row r="641" spans="1:30" s="211" customFormat="1" x14ac:dyDescent="0.25">
      <c r="A641" s="211" t="s">
        <v>117</v>
      </c>
      <c r="B641" s="211">
        <v>762</v>
      </c>
      <c r="C641" s="211" t="s">
        <v>417</v>
      </c>
      <c r="D641" s="211">
        <v>191668636</v>
      </c>
      <c r="E641" s="211">
        <v>1060</v>
      </c>
      <c r="F641" s="211">
        <v>1271</v>
      </c>
      <c r="G641" s="211">
        <v>1004</v>
      </c>
      <c r="I641" s="211" t="s">
        <v>1346</v>
      </c>
      <c r="J641" s="212" t="s">
        <v>638</v>
      </c>
      <c r="K641" s="211" t="s">
        <v>524</v>
      </c>
      <c r="L641" s="211" t="s">
        <v>1396</v>
      </c>
      <c r="AD641" s="213"/>
    </row>
    <row r="642" spans="1:30" s="211" customFormat="1" x14ac:dyDescent="0.25">
      <c r="A642" s="211" t="s">
        <v>117</v>
      </c>
      <c r="B642" s="211">
        <v>762</v>
      </c>
      <c r="C642" s="211" t="s">
        <v>417</v>
      </c>
      <c r="D642" s="211">
        <v>191953821</v>
      </c>
      <c r="E642" s="211">
        <v>1080</v>
      </c>
      <c r="F642" s="211">
        <v>1242</v>
      </c>
      <c r="G642" s="211">
        <v>1004</v>
      </c>
      <c r="I642" s="211" t="s">
        <v>1347</v>
      </c>
      <c r="J642" s="212" t="s">
        <v>638</v>
      </c>
      <c r="K642" s="211" t="s">
        <v>639</v>
      </c>
      <c r="L642" s="211" t="s">
        <v>1421</v>
      </c>
      <c r="AD642" s="213"/>
    </row>
    <row r="643" spans="1:30" s="211" customFormat="1" x14ac:dyDescent="0.25">
      <c r="A643" s="211" t="s">
        <v>117</v>
      </c>
      <c r="B643" s="211">
        <v>762</v>
      </c>
      <c r="C643" s="211" t="s">
        <v>417</v>
      </c>
      <c r="D643" s="211">
        <v>192021264</v>
      </c>
      <c r="E643" s="211">
        <v>1080</v>
      </c>
      <c r="G643" s="211">
        <v>1004</v>
      </c>
      <c r="I643" s="211" t="s">
        <v>2113</v>
      </c>
      <c r="J643" s="212" t="s">
        <v>638</v>
      </c>
      <c r="K643" s="211" t="s">
        <v>639</v>
      </c>
      <c r="L643" s="211" t="s">
        <v>2119</v>
      </c>
      <c r="AD643" s="213"/>
    </row>
    <row r="644" spans="1:30" s="211" customFormat="1" x14ac:dyDescent="0.25">
      <c r="A644" s="211" t="s">
        <v>117</v>
      </c>
      <c r="B644" s="211">
        <v>763</v>
      </c>
      <c r="C644" s="211" t="s">
        <v>418</v>
      </c>
      <c r="D644" s="211">
        <v>192014803</v>
      </c>
      <c r="E644" s="211">
        <v>1060</v>
      </c>
      <c r="F644" s="211">
        <v>1251</v>
      </c>
      <c r="G644" s="211">
        <v>1004</v>
      </c>
      <c r="I644" s="211" t="s">
        <v>1805</v>
      </c>
      <c r="J644" s="212" t="s">
        <v>638</v>
      </c>
      <c r="K644" s="211" t="s">
        <v>639</v>
      </c>
      <c r="L644" s="211" t="s">
        <v>1828</v>
      </c>
      <c r="AD644" s="213"/>
    </row>
    <row r="645" spans="1:30" s="211" customFormat="1" x14ac:dyDescent="0.25">
      <c r="A645" s="211" t="s">
        <v>117</v>
      </c>
      <c r="B645" s="211">
        <v>763</v>
      </c>
      <c r="C645" s="211" t="s">
        <v>418</v>
      </c>
      <c r="D645" s="211">
        <v>192014804</v>
      </c>
      <c r="E645" s="211">
        <v>1060</v>
      </c>
      <c r="F645" s="211">
        <v>1251</v>
      </c>
      <c r="G645" s="211">
        <v>1004</v>
      </c>
      <c r="I645" s="211" t="s">
        <v>1806</v>
      </c>
      <c r="J645" s="212" t="s">
        <v>638</v>
      </c>
      <c r="K645" s="211" t="s">
        <v>639</v>
      </c>
      <c r="L645" s="211" t="s">
        <v>1829</v>
      </c>
      <c r="AD645" s="213"/>
    </row>
    <row r="646" spans="1:30" s="211" customFormat="1" x14ac:dyDescent="0.25">
      <c r="A646" s="211" t="s">
        <v>117</v>
      </c>
      <c r="B646" s="211">
        <v>766</v>
      </c>
      <c r="C646" s="211" t="s">
        <v>419</v>
      </c>
      <c r="D646" s="211">
        <v>502053957</v>
      </c>
      <c r="E646" s="211">
        <v>1060</v>
      </c>
      <c r="F646" s="211">
        <v>1271</v>
      </c>
      <c r="G646" s="211">
        <v>1004</v>
      </c>
      <c r="I646" s="211" t="s">
        <v>2374</v>
      </c>
      <c r="J646" s="212" t="s">
        <v>638</v>
      </c>
      <c r="K646" s="211" t="s">
        <v>524</v>
      </c>
      <c r="L646" s="211" t="s">
        <v>2383</v>
      </c>
      <c r="AD646" s="213"/>
    </row>
    <row r="647" spans="1:30" s="211" customFormat="1" x14ac:dyDescent="0.25">
      <c r="A647" s="211" t="s">
        <v>117</v>
      </c>
      <c r="B647" s="211">
        <v>768</v>
      </c>
      <c r="C647" s="211" t="s">
        <v>421</v>
      </c>
      <c r="D647" s="211">
        <v>192023650</v>
      </c>
      <c r="E647" s="211">
        <v>1080</v>
      </c>
      <c r="F647" s="211">
        <v>1252</v>
      </c>
      <c r="G647" s="211">
        <v>1004</v>
      </c>
      <c r="I647" s="211" t="s">
        <v>2162</v>
      </c>
      <c r="J647" s="212" t="s">
        <v>638</v>
      </c>
      <c r="K647" s="211" t="s">
        <v>639</v>
      </c>
      <c r="L647" s="211" t="s">
        <v>2173</v>
      </c>
      <c r="AD647" s="213"/>
    </row>
    <row r="648" spans="1:30" s="211" customFormat="1" x14ac:dyDescent="0.25">
      <c r="A648" s="211" t="s">
        <v>117</v>
      </c>
      <c r="B648" s="211">
        <v>768</v>
      </c>
      <c r="C648" s="211" t="s">
        <v>421</v>
      </c>
      <c r="D648" s="211">
        <v>192024942</v>
      </c>
      <c r="E648" s="211">
        <v>1080</v>
      </c>
      <c r="F648" s="211">
        <v>1252</v>
      </c>
      <c r="G648" s="211">
        <v>1004</v>
      </c>
      <c r="I648" s="211" t="s">
        <v>2553</v>
      </c>
      <c r="J648" s="212" t="s">
        <v>638</v>
      </c>
      <c r="K648" s="211" t="s">
        <v>524</v>
      </c>
      <c r="L648" s="211" t="s">
        <v>2567</v>
      </c>
      <c r="AD648" s="213"/>
    </row>
    <row r="649" spans="1:30" s="211" customFormat="1" x14ac:dyDescent="0.25">
      <c r="A649" s="211" t="s">
        <v>117</v>
      </c>
      <c r="B649" s="211">
        <v>768</v>
      </c>
      <c r="C649" s="211" t="s">
        <v>421</v>
      </c>
      <c r="D649" s="211">
        <v>192024943</v>
      </c>
      <c r="E649" s="211">
        <v>1080</v>
      </c>
      <c r="F649" s="211">
        <v>1252</v>
      </c>
      <c r="G649" s="211">
        <v>1004</v>
      </c>
      <c r="I649" s="211" t="s">
        <v>2554</v>
      </c>
      <c r="J649" s="212" t="s">
        <v>638</v>
      </c>
      <c r="K649" s="211" t="s">
        <v>524</v>
      </c>
      <c r="L649" s="211" t="s">
        <v>2568</v>
      </c>
      <c r="AD649" s="213"/>
    </row>
    <row r="650" spans="1:30" s="211" customFormat="1" x14ac:dyDescent="0.25">
      <c r="A650" s="211" t="s">
        <v>117</v>
      </c>
      <c r="B650" s="211">
        <v>768</v>
      </c>
      <c r="C650" s="211" t="s">
        <v>421</v>
      </c>
      <c r="D650" s="211">
        <v>192024944</v>
      </c>
      <c r="E650" s="211">
        <v>1080</v>
      </c>
      <c r="F650" s="211">
        <v>1252</v>
      </c>
      <c r="G650" s="211">
        <v>1004</v>
      </c>
      <c r="I650" s="211" t="s">
        <v>2555</v>
      </c>
      <c r="J650" s="212" t="s">
        <v>638</v>
      </c>
      <c r="K650" s="211" t="s">
        <v>524</v>
      </c>
      <c r="L650" s="211" t="s">
        <v>2569</v>
      </c>
      <c r="AD650" s="213"/>
    </row>
    <row r="651" spans="1:30" s="211" customFormat="1" x14ac:dyDescent="0.25">
      <c r="A651" s="211" t="s">
        <v>117</v>
      </c>
      <c r="B651" s="211">
        <v>768</v>
      </c>
      <c r="C651" s="211" t="s">
        <v>421</v>
      </c>
      <c r="D651" s="211">
        <v>192024945</v>
      </c>
      <c r="E651" s="211">
        <v>1080</v>
      </c>
      <c r="F651" s="211">
        <v>1252</v>
      </c>
      <c r="G651" s="211">
        <v>1004</v>
      </c>
      <c r="I651" s="211" t="s">
        <v>2556</v>
      </c>
      <c r="J651" s="212" t="s">
        <v>638</v>
      </c>
      <c r="K651" s="211" t="s">
        <v>639</v>
      </c>
      <c r="L651" s="211" t="s">
        <v>2573</v>
      </c>
      <c r="AD651" s="213"/>
    </row>
    <row r="652" spans="1:30" s="211" customFormat="1" x14ac:dyDescent="0.25">
      <c r="A652" s="211" t="s">
        <v>117</v>
      </c>
      <c r="B652" s="211">
        <v>768</v>
      </c>
      <c r="C652" s="211" t="s">
        <v>421</v>
      </c>
      <c r="D652" s="211">
        <v>192050069</v>
      </c>
      <c r="E652" s="211">
        <v>1080</v>
      </c>
      <c r="F652" s="211">
        <v>1242</v>
      </c>
      <c r="G652" s="211">
        <v>1004</v>
      </c>
      <c r="I652" s="211" t="s">
        <v>3546</v>
      </c>
      <c r="J652" s="212" t="s">
        <v>638</v>
      </c>
      <c r="K652" s="211" t="s">
        <v>639</v>
      </c>
      <c r="L652" s="211" t="s">
        <v>3592</v>
      </c>
      <c r="AD652" s="213"/>
    </row>
    <row r="653" spans="1:30" s="211" customFormat="1" x14ac:dyDescent="0.25">
      <c r="A653" s="211" t="s">
        <v>117</v>
      </c>
      <c r="B653" s="211">
        <v>768</v>
      </c>
      <c r="C653" s="211" t="s">
        <v>421</v>
      </c>
      <c r="D653" s="211">
        <v>192050071</v>
      </c>
      <c r="E653" s="211">
        <v>1060</v>
      </c>
      <c r="F653" s="211">
        <v>1271</v>
      </c>
      <c r="G653" s="211">
        <v>1004</v>
      </c>
      <c r="I653" s="211" t="s">
        <v>3547</v>
      </c>
      <c r="J653" s="212" t="s">
        <v>638</v>
      </c>
      <c r="K653" s="211" t="s">
        <v>524</v>
      </c>
      <c r="L653" s="211" t="s">
        <v>3581</v>
      </c>
      <c r="AD653" s="213"/>
    </row>
    <row r="654" spans="1:30" s="211" customFormat="1" x14ac:dyDescent="0.25">
      <c r="A654" s="211" t="s">
        <v>117</v>
      </c>
      <c r="B654" s="211">
        <v>769</v>
      </c>
      <c r="C654" s="211" t="s">
        <v>422</v>
      </c>
      <c r="D654" s="211">
        <v>190197211</v>
      </c>
      <c r="E654" s="211">
        <v>1040</v>
      </c>
      <c r="G654" s="211">
        <v>1004</v>
      </c>
      <c r="I654" s="211" t="s">
        <v>3292</v>
      </c>
      <c r="J654" s="212" t="s">
        <v>638</v>
      </c>
      <c r="K654" s="211" t="s">
        <v>639</v>
      </c>
      <c r="L654" s="211" t="s">
        <v>3752</v>
      </c>
      <c r="AD654" s="213"/>
    </row>
    <row r="655" spans="1:30" s="211" customFormat="1" x14ac:dyDescent="0.25">
      <c r="A655" s="211" t="s">
        <v>117</v>
      </c>
      <c r="B655" s="211">
        <v>770</v>
      </c>
      <c r="C655" s="211" t="s">
        <v>423</v>
      </c>
      <c r="D655" s="211">
        <v>192052049</v>
      </c>
      <c r="E655" s="211">
        <v>1060</v>
      </c>
      <c r="F655" s="211">
        <v>1274</v>
      </c>
      <c r="G655" s="211">
        <v>1004</v>
      </c>
      <c r="I655" s="211" t="s">
        <v>3784</v>
      </c>
      <c r="J655" s="212" t="s">
        <v>638</v>
      </c>
      <c r="K655" s="211" t="s">
        <v>524</v>
      </c>
      <c r="L655" s="211" t="s">
        <v>3828</v>
      </c>
      <c r="AD655" s="213"/>
    </row>
    <row r="656" spans="1:30" s="211" customFormat="1" x14ac:dyDescent="0.25">
      <c r="A656" s="211" t="s">
        <v>117</v>
      </c>
      <c r="B656" s="211">
        <v>784</v>
      </c>
      <c r="C656" s="211" t="s">
        <v>426</v>
      </c>
      <c r="D656" s="211">
        <v>1396784</v>
      </c>
      <c r="E656" s="211">
        <v>1020</v>
      </c>
      <c r="F656" s="211">
        <v>1110</v>
      </c>
      <c r="G656" s="211">
        <v>1004</v>
      </c>
      <c r="I656" s="211" t="s">
        <v>3548</v>
      </c>
      <c r="J656" s="212" t="s">
        <v>638</v>
      </c>
      <c r="K656" s="211" t="s">
        <v>639</v>
      </c>
      <c r="L656" s="211" t="s">
        <v>3593</v>
      </c>
      <c r="AD656" s="213"/>
    </row>
    <row r="657" spans="1:30" s="211" customFormat="1" x14ac:dyDescent="0.25">
      <c r="A657" s="211" t="s">
        <v>117</v>
      </c>
      <c r="B657" s="211">
        <v>784</v>
      </c>
      <c r="C657" s="211" t="s">
        <v>426</v>
      </c>
      <c r="D657" s="211">
        <v>191531091</v>
      </c>
      <c r="E657" s="211">
        <v>1060</v>
      </c>
      <c r="F657" s="211">
        <v>1271</v>
      </c>
      <c r="G657" s="211">
        <v>1004</v>
      </c>
      <c r="I657" s="211" t="s">
        <v>3549</v>
      </c>
      <c r="J657" s="212" t="s">
        <v>638</v>
      </c>
      <c r="K657" s="211" t="s">
        <v>524</v>
      </c>
      <c r="L657" s="211" t="s">
        <v>3582</v>
      </c>
      <c r="AD657" s="213"/>
    </row>
    <row r="658" spans="1:30" s="211" customFormat="1" x14ac:dyDescent="0.25">
      <c r="A658" s="211" t="s">
        <v>117</v>
      </c>
      <c r="B658" s="211">
        <v>785</v>
      </c>
      <c r="C658" s="211" t="s">
        <v>427</v>
      </c>
      <c r="D658" s="211">
        <v>192004025</v>
      </c>
      <c r="E658" s="211">
        <v>1060</v>
      </c>
      <c r="F658" s="211">
        <v>1271</v>
      </c>
      <c r="G658" s="211">
        <v>1004</v>
      </c>
      <c r="I658" s="211" t="s">
        <v>2476</v>
      </c>
      <c r="J658" s="212" t="s">
        <v>638</v>
      </c>
      <c r="K658" s="211" t="s">
        <v>524</v>
      </c>
      <c r="L658" s="211" t="s">
        <v>2499</v>
      </c>
      <c r="AD658" s="213"/>
    </row>
    <row r="659" spans="1:30" s="211" customFormat="1" x14ac:dyDescent="0.25">
      <c r="A659" s="211" t="s">
        <v>117</v>
      </c>
      <c r="B659" s="211">
        <v>785</v>
      </c>
      <c r="C659" s="211" t="s">
        <v>427</v>
      </c>
      <c r="D659" s="211">
        <v>192032408</v>
      </c>
      <c r="E659" s="211">
        <v>1060</v>
      </c>
      <c r="F659" s="211">
        <v>1271</v>
      </c>
      <c r="G659" s="211">
        <v>1004</v>
      </c>
      <c r="I659" s="211" t="s">
        <v>2476</v>
      </c>
      <c r="J659" s="212" t="s">
        <v>638</v>
      </c>
      <c r="K659" s="211" t="s">
        <v>524</v>
      </c>
      <c r="L659" s="211" t="s">
        <v>2500</v>
      </c>
      <c r="AD659" s="213"/>
    </row>
    <row r="660" spans="1:30" s="211" customFormat="1" x14ac:dyDescent="0.25">
      <c r="A660" s="211" t="s">
        <v>117</v>
      </c>
      <c r="B660" s="211">
        <v>785</v>
      </c>
      <c r="C660" s="211" t="s">
        <v>427</v>
      </c>
      <c r="D660" s="211">
        <v>192049209</v>
      </c>
      <c r="E660" s="211">
        <v>1060</v>
      </c>
      <c r="F660" s="211">
        <v>1242</v>
      </c>
      <c r="G660" s="211">
        <v>1004</v>
      </c>
      <c r="I660" s="211" t="s">
        <v>3293</v>
      </c>
      <c r="J660" s="212" t="s">
        <v>638</v>
      </c>
      <c r="K660" s="211" t="s">
        <v>524</v>
      </c>
      <c r="L660" s="211" t="s">
        <v>3342</v>
      </c>
      <c r="AD660" s="213"/>
    </row>
    <row r="661" spans="1:30" s="211" customFormat="1" x14ac:dyDescent="0.25">
      <c r="A661" s="211" t="s">
        <v>117</v>
      </c>
      <c r="B661" s="211">
        <v>791</v>
      </c>
      <c r="C661" s="211" t="s">
        <v>429</v>
      </c>
      <c r="D661" s="211">
        <v>504019456</v>
      </c>
      <c r="E661" s="211">
        <v>1060</v>
      </c>
      <c r="G661" s="211">
        <v>1004</v>
      </c>
      <c r="I661" s="211" t="s">
        <v>3038</v>
      </c>
      <c r="J661" s="212" t="s">
        <v>638</v>
      </c>
      <c r="K661" s="211" t="s">
        <v>524</v>
      </c>
      <c r="L661" s="211" t="s">
        <v>3118</v>
      </c>
      <c r="AD661" s="213"/>
    </row>
    <row r="662" spans="1:30" s="211" customFormat="1" x14ac:dyDescent="0.25">
      <c r="A662" s="211" t="s">
        <v>117</v>
      </c>
      <c r="B662" s="211">
        <v>792</v>
      </c>
      <c r="C662" s="211" t="s">
        <v>430</v>
      </c>
      <c r="D662" s="211">
        <v>191905682</v>
      </c>
      <c r="E662" s="211">
        <v>1080</v>
      </c>
      <c r="G662" s="211">
        <v>1004</v>
      </c>
      <c r="I662" s="211" t="s">
        <v>728</v>
      </c>
      <c r="J662" s="212" t="s">
        <v>638</v>
      </c>
      <c r="K662" s="211" t="s">
        <v>524</v>
      </c>
      <c r="L662" s="211" t="s">
        <v>892</v>
      </c>
      <c r="AD662" s="213"/>
    </row>
    <row r="663" spans="1:30" s="211" customFormat="1" x14ac:dyDescent="0.25">
      <c r="A663" s="211" t="s">
        <v>117</v>
      </c>
      <c r="B663" s="211">
        <v>792</v>
      </c>
      <c r="C663" s="211" t="s">
        <v>430</v>
      </c>
      <c r="D663" s="211">
        <v>191983377</v>
      </c>
      <c r="E663" s="211">
        <v>1060</v>
      </c>
      <c r="F663" s="211">
        <v>1271</v>
      </c>
      <c r="G663" s="211">
        <v>1004</v>
      </c>
      <c r="I663" s="211" t="s">
        <v>961</v>
      </c>
      <c r="J663" s="212" t="s">
        <v>638</v>
      </c>
      <c r="K663" s="211" t="s">
        <v>524</v>
      </c>
      <c r="L663" s="211" t="s">
        <v>962</v>
      </c>
      <c r="AD663" s="213"/>
    </row>
    <row r="664" spans="1:30" s="211" customFormat="1" x14ac:dyDescent="0.25">
      <c r="A664" s="211" t="s">
        <v>117</v>
      </c>
      <c r="B664" s="211">
        <v>792</v>
      </c>
      <c r="C664" s="211" t="s">
        <v>430</v>
      </c>
      <c r="D664" s="211">
        <v>502069009</v>
      </c>
      <c r="E664" s="211">
        <v>1060</v>
      </c>
      <c r="F664" s="211">
        <v>1271</v>
      </c>
      <c r="G664" s="211">
        <v>1004</v>
      </c>
      <c r="I664" s="211" t="s">
        <v>3620</v>
      </c>
      <c r="J664" s="212" t="s">
        <v>638</v>
      </c>
      <c r="K664" s="211" t="s">
        <v>524</v>
      </c>
      <c r="L664" s="211" t="s">
        <v>3697</v>
      </c>
      <c r="AD664" s="213"/>
    </row>
    <row r="665" spans="1:30" s="211" customFormat="1" x14ac:dyDescent="0.25">
      <c r="A665" s="211" t="s">
        <v>117</v>
      </c>
      <c r="B665" s="211">
        <v>792</v>
      </c>
      <c r="C665" s="211" t="s">
        <v>430</v>
      </c>
      <c r="D665" s="211">
        <v>502069011</v>
      </c>
      <c r="E665" s="211">
        <v>1060</v>
      </c>
      <c r="G665" s="211">
        <v>1004</v>
      </c>
      <c r="I665" s="211" t="s">
        <v>3621</v>
      </c>
      <c r="J665" s="212" t="s">
        <v>638</v>
      </c>
      <c r="K665" s="211" t="s">
        <v>524</v>
      </c>
      <c r="L665" s="211" t="s">
        <v>3698</v>
      </c>
      <c r="AD665" s="213"/>
    </row>
    <row r="666" spans="1:30" s="211" customFormat="1" x14ac:dyDescent="0.25">
      <c r="A666" s="211" t="s">
        <v>117</v>
      </c>
      <c r="B666" s="211">
        <v>793</v>
      </c>
      <c r="C666" s="211" t="s">
        <v>431</v>
      </c>
      <c r="D666" s="211">
        <v>191879697</v>
      </c>
      <c r="E666" s="211">
        <v>1060</v>
      </c>
      <c r="F666" s="211">
        <v>1271</v>
      </c>
      <c r="G666" s="211">
        <v>1004</v>
      </c>
      <c r="I666" s="211" t="s">
        <v>2853</v>
      </c>
      <c r="J666" s="212" t="s">
        <v>638</v>
      </c>
      <c r="K666" s="211" t="s">
        <v>524</v>
      </c>
      <c r="L666" s="211" t="s">
        <v>2876</v>
      </c>
      <c r="AD666" s="213"/>
    </row>
    <row r="667" spans="1:30" s="211" customFormat="1" x14ac:dyDescent="0.25">
      <c r="A667" s="211" t="s">
        <v>117</v>
      </c>
      <c r="B667" s="211">
        <v>793</v>
      </c>
      <c r="C667" s="211" t="s">
        <v>431</v>
      </c>
      <c r="D667" s="211">
        <v>191997390</v>
      </c>
      <c r="E667" s="211">
        <v>1060</v>
      </c>
      <c r="F667" s="211">
        <v>1242</v>
      </c>
      <c r="G667" s="211">
        <v>1004</v>
      </c>
      <c r="I667" s="211" t="s">
        <v>2854</v>
      </c>
      <c r="J667" s="212" t="s">
        <v>638</v>
      </c>
      <c r="K667" s="211" t="s">
        <v>524</v>
      </c>
      <c r="L667" s="211" t="s">
        <v>2877</v>
      </c>
      <c r="AD667" s="213"/>
    </row>
    <row r="668" spans="1:30" s="211" customFormat="1" x14ac:dyDescent="0.25">
      <c r="A668" s="211" t="s">
        <v>117</v>
      </c>
      <c r="B668" s="211">
        <v>793</v>
      </c>
      <c r="C668" s="211" t="s">
        <v>431</v>
      </c>
      <c r="D668" s="211">
        <v>400083809</v>
      </c>
      <c r="E668" s="211">
        <v>1060</v>
      </c>
      <c r="F668" s="211">
        <v>1242</v>
      </c>
      <c r="G668" s="211">
        <v>1004</v>
      </c>
      <c r="I668" s="211" t="s">
        <v>3550</v>
      </c>
      <c r="J668" s="212" t="s">
        <v>638</v>
      </c>
      <c r="K668" s="211" t="s">
        <v>524</v>
      </c>
      <c r="L668" s="211" t="s">
        <v>3583</v>
      </c>
      <c r="AD668" s="213"/>
    </row>
    <row r="669" spans="1:30" s="211" customFormat="1" x14ac:dyDescent="0.25">
      <c r="A669" s="211" t="s">
        <v>117</v>
      </c>
      <c r="B669" s="211">
        <v>793</v>
      </c>
      <c r="C669" s="211" t="s">
        <v>431</v>
      </c>
      <c r="D669" s="211">
        <v>400084001</v>
      </c>
      <c r="E669" s="211">
        <v>1060</v>
      </c>
      <c r="F669" s="211">
        <v>1271</v>
      </c>
      <c r="G669" s="211">
        <v>1004</v>
      </c>
      <c r="I669" s="211" t="s">
        <v>2855</v>
      </c>
      <c r="J669" s="212" t="s">
        <v>638</v>
      </c>
      <c r="K669" s="211" t="s">
        <v>524</v>
      </c>
      <c r="L669" s="211" t="s">
        <v>2878</v>
      </c>
      <c r="AD669" s="213"/>
    </row>
    <row r="670" spans="1:30" s="211" customFormat="1" x14ac:dyDescent="0.25">
      <c r="A670" s="211" t="s">
        <v>117</v>
      </c>
      <c r="B670" s="211">
        <v>794</v>
      </c>
      <c r="C670" s="211" t="s">
        <v>432</v>
      </c>
      <c r="D670" s="211">
        <v>192050139</v>
      </c>
      <c r="E670" s="211">
        <v>1060</v>
      </c>
      <c r="F670" s="211">
        <v>1274</v>
      </c>
      <c r="G670" s="211">
        <v>1004</v>
      </c>
      <c r="I670" s="211" t="s">
        <v>3551</v>
      </c>
      <c r="J670" s="212" t="s">
        <v>638</v>
      </c>
      <c r="K670" s="211" t="s">
        <v>524</v>
      </c>
      <c r="L670" s="211" t="s">
        <v>3584</v>
      </c>
      <c r="AD670" s="213"/>
    </row>
    <row r="671" spans="1:30" s="211" customFormat="1" x14ac:dyDescent="0.25">
      <c r="A671" s="211" t="s">
        <v>117</v>
      </c>
      <c r="B671" s="211">
        <v>794</v>
      </c>
      <c r="C671" s="211" t="s">
        <v>432</v>
      </c>
      <c r="D671" s="211">
        <v>502199722</v>
      </c>
      <c r="E671" s="211">
        <v>1060</v>
      </c>
      <c r="G671" s="211">
        <v>1004</v>
      </c>
      <c r="I671" s="211" t="s">
        <v>3552</v>
      </c>
      <c r="J671" s="212" t="s">
        <v>638</v>
      </c>
      <c r="K671" s="211" t="s">
        <v>524</v>
      </c>
      <c r="L671" s="211" t="s">
        <v>3585</v>
      </c>
      <c r="AD671" s="213"/>
    </row>
    <row r="672" spans="1:30" s="211" customFormat="1" x14ac:dyDescent="0.25">
      <c r="A672" s="211" t="s">
        <v>117</v>
      </c>
      <c r="B672" s="211">
        <v>794</v>
      </c>
      <c r="C672" s="211" t="s">
        <v>432</v>
      </c>
      <c r="D672" s="211">
        <v>502200069</v>
      </c>
      <c r="E672" s="211">
        <v>1060</v>
      </c>
      <c r="F672" s="211">
        <v>1271</v>
      </c>
      <c r="G672" s="211">
        <v>1004</v>
      </c>
      <c r="I672" s="211" t="s">
        <v>3553</v>
      </c>
      <c r="J672" s="212" t="s">
        <v>638</v>
      </c>
      <c r="K672" s="211" t="s">
        <v>524</v>
      </c>
      <c r="L672" s="211" t="s">
        <v>3586</v>
      </c>
      <c r="AD672" s="213"/>
    </row>
    <row r="673" spans="1:30" s="211" customFormat="1" x14ac:dyDescent="0.25">
      <c r="A673" s="211" t="s">
        <v>117</v>
      </c>
      <c r="B673" s="211">
        <v>841</v>
      </c>
      <c r="C673" s="211" t="s">
        <v>433</v>
      </c>
      <c r="D673" s="211">
        <v>191829694</v>
      </c>
      <c r="E673" s="211">
        <v>1060</v>
      </c>
      <c r="F673" s="211">
        <v>1252</v>
      </c>
      <c r="G673" s="211">
        <v>1004</v>
      </c>
      <c r="I673" s="211" t="s">
        <v>729</v>
      </c>
      <c r="J673" s="212" t="s">
        <v>638</v>
      </c>
      <c r="K673" s="211" t="s">
        <v>645</v>
      </c>
      <c r="L673" s="211" t="s">
        <v>3402</v>
      </c>
      <c r="AD673" s="213"/>
    </row>
    <row r="674" spans="1:30" s="211" customFormat="1" x14ac:dyDescent="0.25">
      <c r="A674" s="211" t="s">
        <v>117</v>
      </c>
      <c r="B674" s="211">
        <v>841</v>
      </c>
      <c r="C674" s="211" t="s">
        <v>433</v>
      </c>
      <c r="D674" s="211">
        <v>192042380</v>
      </c>
      <c r="E674" s="211">
        <v>1080</v>
      </c>
      <c r="F674" s="211">
        <v>1242</v>
      </c>
      <c r="G674" s="211">
        <v>1004</v>
      </c>
      <c r="I674" s="211" t="s">
        <v>2856</v>
      </c>
      <c r="J674" s="212" t="s">
        <v>638</v>
      </c>
      <c r="K674" s="211" t="s">
        <v>524</v>
      </c>
      <c r="L674" s="211" t="s">
        <v>2879</v>
      </c>
      <c r="AD674" s="213"/>
    </row>
    <row r="675" spans="1:30" s="211" customFormat="1" x14ac:dyDescent="0.25">
      <c r="A675" s="211" t="s">
        <v>117</v>
      </c>
      <c r="B675" s="211">
        <v>842</v>
      </c>
      <c r="C675" s="211" t="s">
        <v>434</v>
      </c>
      <c r="D675" s="211">
        <v>191764157</v>
      </c>
      <c r="E675" s="211">
        <v>1020</v>
      </c>
      <c r="F675" s="211">
        <v>1110</v>
      </c>
      <c r="G675" s="211">
        <v>1004</v>
      </c>
      <c r="I675" s="211" t="s">
        <v>1807</v>
      </c>
      <c r="J675" s="212" t="s">
        <v>638</v>
      </c>
      <c r="K675" s="211" t="s">
        <v>524</v>
      </c>
      <c r="L675" s="211" t="s">
        <v>1820</v>
      </c>
      <c r="AD675" s="213"/>
    </row>
    <row r="676" spans="1:30" s="211" customFormat="1" x14ac:dyDescent="0.25">
      <c r="A676" s="211" t="s">
        <v>117</v>
      </c>
      <c r="B676" s="211">
        <v>842</v>
      </c>
      <c r="C676" s="211" t="s">
        <v>434</v>
      </c>
      <c r="D676" s="211">
        <v>504004517</v>
      </c>
      <c r="E676" s="211">
        <v>1060</v>
      </c>
      <c r="F676" s="211">
        <v>1271</v>
      </c>
      <c r="G676" s="211">
        <v>1004</v>
      </c>
      <c r="I676" s="211" t="s">
        <v>3039</v>
      </c>
      <c r="J676" s="212" t="s">
        <v>638</v>
      </c>
      <c r="K676" s="211" t="s">
        <v>524</v>
      </c>
      <c r="L676" s="211" t="s">
        <v>3119</v>
      </c>
      <c r="AD676" s="213"/>
    </row>
    <row r="677" spans="1:30" s="211" customFormat="1" x14ac:dyDescent="0.25">
      <c r="A677" s="211" t="s">
        <v>117</v>
      </c>
      <c r="B677" s="211">
        <v>843</v>
      </c>
      <c r="C677" s="211" t="s">
        <v>435</v>
      </c>
      <c r="D677" s="211">
        <v>191957128</v>
      </c>
      <c r="E677" s="211">
        <v>1060</v>
      </c>
      <c r="F677" s="211">
        <v>1242</v>
      </c>
      <c r="G677" s="211">
        <v>1004</v>
      </c>
      <c r="I677" s="211" t="s">
        <v>3377</v>
      </c>
      <c r="J677" s="212" t="s">
        <v>638</v>
      </c>
      <c r="K677" s="211" t="s">
        <v>524</v>
      </c>
      <c r="L677" s="211" t="s">
        <v>3416</v>
      </c>
      <c r="AD677" s="213"/>
    </row>
    <row r="678" spans="1:30" s="211" customFormat="1" x14ac:dyDescent="0.25">
      <c r="A678" s="211" t="s">
        <v>117</v>
      </c>
      <c r="B678" s="211">
        <v>843</v>
      </c>
      <c r="C678" s="211" t="s">
        <v>435</v>
      </c>
      <c r="D678" s="211">
        <v>192015906</v>
      </c>
      <c r="E678" s="211">
        <v>1040</v>
      </c>
      <c r="F678" s="211">
        <v>1274</v>
      </c>
      <c r="G678" s="211">
        <v>1004</v>
      </c>
      <c r="I678" s="211" t="s">
        <v>2294</v>
      </c>
      <c r="J678" s="212" t="s">
        <v>638</v>
      </c>
      <c r="K678" s="211" t="s">
        <v>524</v>
      </c>
      <c r="L678" s="211" t="s">
        <v>2313</v>
      </c>
      <c r="AD678" s="213"/>
    </row>
    <row r="679" spans="1:30" s="211" customFormat="1" x14ac:dyDescent="0.25">
      <c r="A679" s="211" t="s">
        <v>117</v>
      </c>
      <c r="B679" s="211">
        <v>843</v>
      </c>
      <c r="C679" s="211" t="s">
        <v>435</v>
      </c>
      <c r="D679" s="211">
        <v>192030515</v>
      </c>
      <c r="E679" s="211">
        <v>1080</v>
      </c>
      <c r="F679" s="211">
        <v>1242</v>
      </c>
      <c r="G679" s="211">
        <v>1004</v>
      </c>
      <c r="I679" s="211" t="s">
        <v>2360</v>
      </c>
      <c r="J679" s="212" t="s">
        <v>638</v>
      </c>
      <c r="K679" s="211" t="s">
        <v>639</v>
      </c>
      <c r="L679" s="211" t="s">
        <v>2367</v>
      </c>
      <c r="AD679" s="213"/>
    </row>
    <row r="680" spans="1:30" s="211" customFormat="1" x14ac:dyDescent="0.25">
      <c r="A680" s="211" t="s">
        <v>117</v>
      </c>
      <c r="B680" s="211">
        <v>852</v>
      </c>
      <c r="C680" s="211" t="s">
        <v>436</v>
      </c>
      <c r="D680" s="211">
        <v>192004634</v>
      </c>
      <c r="E680" s="211">
        <v>1060</v>
      </c>
      <c r="F680" s="211">
        <v>1271</v>
      </c>
      <c r="G680" s="211">
        <v>1004</v>
      </c>
      <c r="I680" s="211" t="s">
        <v>1630</v>
      </c>
      <c r="J680" s="212" t="s">
        <v>638</v>
      </c>
      <c r="K680" s="211" t="s">
        <v>524</v>
      </c>
      <c r="L680" s="211" t="s">
        <v>1637</v>
      </c>
      <c r="AD680" s="213"/>
    </row>
    <row r="681" spans="1:30" s="211" customFormat="1" x14ac:dyDescent="0.25">
      <c r="A681" s="211" t="s">
        <v>117</v>
      </c>
      <c r="B681" s="211">
        <v>852</v>
      </c>
      <c r="C681" s="211" t="s">
        <v>436</v>
      </c>
      <c r="D681" s="211">
        <v>192015261</v>
      </c>
      <c r="E681" s="211">
        <v>1020</v>
      </c>
      <c r="F681" s="211">
        <v>1110</v>
      </c>
      <c r="G681" s="211">
        <v>1003</v>
      </c>
      <c r="I681" s="211" t="s">
        <v>1808</v>
      </c>
      <c r="J681" s="212" t="s">
        <v>638</v>
      </c>
      <c r="K681" s="211" t="s">
        <v>639</v>
      </c>
      <c r="L681" s="211" t="s">
        <v>1830</v>
      </c>
      <c r="AD681" s="213"/>
    </row>
    <row r="682" spans="1:30" s="211" customFormat="1" x14ac:dyDescent="0.25">
      <c r="A682" s="211" t="s">
        <v>117</v>
      </c>
      <c r="B682" s="211">
        <v>852</v>
      </c>
      <c r="C682" s="211" t="s">
        <v>436</v>
      </c>
      <c r="D682" s="211">
        <v>192027757</v>
      </c>
      <c r="E682" s="211">
        <v>1060</v>
      </c>
      <c r="F682" s="211">
        <v>1242</v>
      </c>
      <c r="G682" s="211">
        <v>1004</v>
      </c>
      <c r="I682" s="211" t="s">
        <v>2295</v>
      </c>
      <c r="J682" s="212" t="s">
        <v>638</v>
      </c>
      <c r="K682" s="211" t="s">
        <v>524</v>
      </c>
      <c r="L682" s="211" t="s">
        <v>2314</v>
      </c>
      <c r="AD682" s="213"/>
    </row>
    <row r="683" spans="1:30" s="211" customFormat="1" x14ac:dyDescent="0.25">
      <c r="A683" s="211" t="s">
        <v>117</v>
      </c>
      <c r="B683" s="211">
        <v>852</v>
      </c>
      <c r="C683" s="211" t="s">
        <v>436</v>
      </c>
      <c r="D683" s="211">
        <v>192028144</v>
      </c>
      <c r="E683" s="211">
        <v>1060</v>
      </c>
      <c r="F683" s="211">
        <v>1271</v>
      </c>
      <c r="G683" s="211">
        <v>1003</v>
      </c>
      <c r="I683" s="211" t="s">
        <v>2320</v>
      </c>
      <c r="J683" s="212" t="s">
        <v>638</v>
      </c>
      <c r="K683" s="211" t="s">
        <v>639</v>
      </c>
      <c r="L683" s="211" t="s">
        <v>2325</v>
      </c>
      <c r="AD683" s="213"/>
    </row>
    <row r="684" spans="1:30" s="211" customFormat="1" x14ac:dyDescent="0.25">
      <c r="A684" s="211" t="s">
        <v>117</v>
      </c>
      <c r="B684" s="211">
        <v>852</v>
      </c>
      <c r="C684" s="211" t="s">
        <v>436</v>
      </c>
      <c r="D684" s="211">
        <v>192051974</v>
      </c>
      <c r="E684" s="211">
        <v>1060</v>
      </c>
      <c r="F684" s="211">
        <v>1242</v>
      </c>
      <c r="G684" s="211">
        <v>1004</v>
      </c>
      <c r="I684" s="211" t="s">
        <v>3785</v>
      </c>
      <c r="J684" s="212" t="s">
        <v>638</v>
      </c>
      <c r="K684" s="211" t="s">
        <v>524</v>
      </c>
      <c r="L684" s="211" t="s">
        <v>3829</v>
      </c>
      <c r="AD684" s="213"/>
    </row>
    <row r="685" spans="1:30" s="211" customFormat="1" x14ac:dyDescent="0.25">
      <c r="A685" s="211" t="s">
        <v>117</v>
      </c>
      <c r="B685" s="211">
        <v>852</v>
      </c>
      <c r="C685" s="211" t="s">
        <v>436</v>
      </c>
      <c r="D685" s="211">
        <v>192051979</v>
      </c>
      <c r="E685" s="211">
        <v>1060</v>
      </c>
      <c r="F685" s="211">
        <v>1271</v>
      </c>
      <c r="G685" s="211">
        <v>1003</v>
      </c>
      <c r="I685" s="211" t="s">
        <v>3786</v>
      </c>
      <c r="J685" s="212" t="s">
        <v>638</v>
      </c>
      <c r="K685" s="211" t="s">
        <v>639</v>
      </c>
      <c r="L685" s="211" t="s">
        <v>3843</v>
      </c>
      <c r="AD685" s="213"/>
    </row>
    <row r="686" spans="1:30" s="211" customFormat="1" x14ac:dyDescent="0.25">
      <c r="A686" s="211" t="s">
        <v>117</v>
      </c>
      <c r="B686" s="211">
        <v>853</v>
      </c>
      <c r="C686" s="211" t="s">
        <v>437</v>
      </c>
      <c r="D686" s="211">
        <v>191975051</v>
      </c>
      <c r="E686" s="211">
        <v>1060</v>
      </c>
      <c r="F686" s="211">
        <v>1271</v>
      </c>
      <c r="G686" s="211">
        <v>1004</v>
      </c>
      <c r="I686" s="211" t="s">
        <v>1554</v>
      </c>
      <c r="J686" s="212" t="s">
        <v>638</v>
      </c>
      <c r="K686" s="211" t="s">
        <v>524</v>
      </c>
      <c r="L686" s="211" t="s">
        <v>1568</v>
      </c>
      <c r="AD686" s="213"/>
    </row>
    <row r="687" spans="1:30" s="211" customFormat="1" x14ac:dyDescent="0.25">
      <c r="A687" s="211" t="s">
        <v>117</v>
      </c>
      <c r="B687" s="211">
        <v>853</v>
      </c>
      <c r="C687" s="211" t="s">
        <v>437</v>
      </c>
      <c r="D687" s="211">
        <v>191988405</v>
      </c>
      <c r="E687" s="211">
        <v>1060</v>
      </c>
      <c r="F687" s="211">
        <v>1271</v>
      </c>
      <c r="G687" s="211">
        <v>1004</v>
      </c>
      <c r="I687" s="211" t="s">
        <v>1555</v>
      </c>
      <c r="J687" s="212" t="s">
        <v>638</v>
      </c>
      <c r="K687" s="211" t="s">
        <v>524</v>
      </c>
      <c r="L687" s="211" t="s">
        <v>1569</v>
      </c>
      <c r="AD687" s="213"/>
    </row>
    <row r="688" spans="1:30" s="211" customFormat="1" x14ac:dyDescent="0.25">
      <c r="A688" s="211" t="s">
        <v>117</v>
      </c>
      <c r="B688" s="211">
        <v>853</v>
      </c>
      <c r="C688" s="211" t="s">
        <v>437</v>
      </c>
      <c r="D688" s="211">
        <v>192000611</v>
      </c>
      <c r="E688" s="211">
        <v>1060</v>
      </c>
      <c r="F688" s="211">
        <v>1242</v>
      </c>
      <c r="G688" s="211">
        <v>1004</v>
      </c>
      <c r="I688" s="211" t="s">
        <v>1556</v>
      </c>
      <c r="J688" s="212" t="s">
        <v>638</v>
      </c>
      <c r="K688" s="211" t="s">
        <v>524</v>
      </c>
      <c r="L688" s="211" t="s">
        <v>1570</v>
      </c>
      <c r="AD688" s="213"/>
    </row>
    <row r="689" spans="1:30" s="211" customFormat="1" x14ac:dyDescent="0.25">
      <c r="A689" s="211" t="s">
        <v>117</v>
      </c>
      <c r="B689" s="211">
        <v>853</v>
      </c>
      <c r="C689" s="211" t="s">
        <v>437</v>
      </c>
      <c r="D689" s="211">
        <v>192000612</v>
      </c>
      <c r="E689" s="211">
        <v>1060</v>
      </c>
      <c r="F689" s="211">
        <v>1271</v>
      </c>
      <c r="G689" s="211">
        <v>1004</v>
      </c>
      <c r="I689" s="211" t="s">
        <v>1583</v>
      </c>
      <c r="J689" s="212" t="s">
        <v>638</v>
      </c>
      <c r="K689" s="211" t="s">
        <v>524</v>
      </c>
      <c r="L689" s="211" t="s">
        <v>1589</v>
      </c>
      <c r="AD689" s="213"/>
    </row>
    <row r="690" spans="1:30" s="211" customFormat="1" x14ac:dyDescent="0.25">
      <c r="A690" s="211" t="s">
        <v>117</v>
      </c>
      <c r="B690" s="211">
        <v>853</v>
      </c>
      <c r="C690" s="211" t="s">
        <v>437</v>
      </c>
      <c r="D690" s="211">
        <v>192015073</v>
      </c>
      <c r="E690" s="211">
        <v>1060</v>
      </c>
      <c r="F690" s="211">
        <v>1271</v>
      </c>
      <c r="G690" s="211">
        <v>1004</v>
      </c>
      <c r="I690" s="211" t="s">
        <v>2620</v>
      </c>
      <c r="J690" s="212" t="s">
        <v>638</v>
      </c>
      <c r="K690" s="211" t="s">
        <v>524</v>
      </c>
      <c r="L690" s="211" t="s">
        <v>2633</v>
      </c>
      <c r="AD690" s="213"/>
    </row>
    <row r="691" spans="1:30" s="211" customFormat="1" x14ac:dyDescent="0.25">
      <c r="A691" s="211" t="s">
        <v>117</v>
      </c>
      <c r="B691" s="211">
        <v>853</v>
      </c>
      <c r="C691" s="211" t="s">
        <v>437</v>
      </c>
      <c r="D691" s="211">
        <v>192023624</v>
      </c>
      <c r="E691" s="211">
        <v>1020</v>
      </c>
      <c r="F691" s="211">
        <v>1110</v>
      </c>
      <c r="G691" s="211">
        <v>1004</v>
      </c>
      <c r="I691" s="211" t="s">
        <v>2163</v>
      </c>
      <c r="J691" s="212" t="s">
        <v>638</v>
      </c>
      <c r="K691" s="211" t="s">
        <v>524</v>
      </c>
      <c r="L691" s="211" t="s">
        <v>2698</v>
      </c>
      <c r="AD691" s="213"/>
    </row>
    <row r="692" spans="1:30" s="211" customFormat="1" x14ac:dyDescent="0.25">
      <c r="A692" s="211" t="s">
        <v>117</v>
      </c>
      <c r="B692" s="211">
        <v>853</v>
      </c>
      <c r="C692" s="211" t="s">
        <v>437</v>
      </c>
      <c r="D692" s="211">
        <v>192030084</v>
      </c>
      <c r="E692" s="211">
        <v>1060</v>
      </c>
      <c r="F692" s="211">
        <v>1271</v>
      </c>
      <c r="G692" s="211">
        <v>1004</v>
      </c>
      <c r="I692" s="211" t="s">
        <v>2361</v>
      </c>
      <c r="J692" s="212" t="s">
        <v>638</v>
      </c>
      <c r="K692" s="211" t="s">
        <v>524</v>
      </c>
      <c r="L692" s="211" t="s">
        <v>2365</v>
      </c>
      <c r="AD692" s="213"/>
    </row>
    <row r="693" spans="1:30" s="211" customFormat="1" x14ac:dyDescent="0.25">
      <c r="A693" s="211" t="s">
        <v>117</v>
      </c>
      <c r="B693" s="211">
        <v>853</v>
      </c>
      <c r="C693" s="211" t="s">
        <v>437</v>
      </c>
      <c r="D693" s="211">
        <v>192043977</v>
      </c>
      <c r="E693" s="211">
        <v>1060</v>
      </c>
      <c r="F693" s="211">
        <v>1271</v>
      </c>
      <c r="G693" s="211">
        <v>1004</v>
      </c>
      <c r="I693" s="211" t="s">
        <v>2927</v>
      </c>
      <c r="J693" s="212" t="s">
        <v>638</v>
      </c>
      <c r="K693" s="211" t="s">
        <v>524</v>
      </c>
      <c r="L693" s="211" t="s">
        <v>2935</v>
      </c>
      <c r="AD693" s="213"/>
    </row>
    <row r="694" spans="1:30" s="211" customFormat="1" x14ac:dyDescent="0.25">
      <c r="A694" s="211" t="s">
        <v>117</v>
      </c>
      <c r="B694" s="211">
        <v>853</v>
      </c>
      <c r="C694" s="211" t="s">
        <v>437</v>
      </c>
      <c r="D694" s="211">
        <v>192044018</v>
      </c>
      <c r="E694" s="211">
        <v>1060</v>
      </c>
      <c r="F694" s="211">
        <v>1242</v>
      </c>
      <c r="G694" s="211">
        <v>1004</v>
      </c>
      <c r="I694" s="211" t="s">
        <v>2928</v>
      </c>
      <c r="J694" s="212" t="s">
        <v>638</v>
      </c>
      <c r="K694" s="211" t="s">
        <v>524</v>
      </c>
      <c r="L694" s="211" t="s">
        <v>2936</v>
      </c>
      <c r="AD694" s="213"/>
    </row>
    <row r="695" spans="1:30" s="211" customFormat="1" x14ac:dyDescent="0.25">
      <c r="A695" s="211" t="s">
        <v>117</v>
      </c>
      <c r="B695" s="211">
        <v>853</v>
      </c>
      <c r="C695" s="211" t="s">
        <v>437</v>
      </c>
      <c r="D695" s="211">
        <v>192050893</v>
      </c>
      <c r="E695" s="211">
        <v>1060</v>
      </c>
      <c r="F695" s="211">
        <v>1241</v>
      </c>
      <c r="G695" s="211">
        <v>1004</v>
      </c>
      <c r="I695" s="211" t="s">
        <v>3622</v>
      </c>
      <c r="J695" s="212" t="s">
        <v>638</v>
      </c>
      <c r="K695" s="211" t="s">
        <v>524</v>
      </c>
      <c r="L695" s="211" t="s">
        <v>3699</v>
      </c>
      <c r="AD695" s="213"/>
    </row>
    <row r="696" spans="1:30" s="211" customFormat="1" x14ac:dyDescent="0.25">
      <c r="A696" s="211" t="s">
        <v>117</v>
      </c>
      <c r="B696" s="211">
        <v>853</v>
      </c>
      <c r="C696" s="211" t="s">
        <v>437</v>
      </c>
      <c r="D696" s="211">
        <v>192052376</v>
      </c>
      <c r="E696" s="211">
        <v>1060</v>
      </c>
      <c r="F696" s="211">
        <v>1242</v>
      </c>
      <c r="G696" s="211">
        <v>1004</v>
      </c>
      <c r="I696" s="211" t="s">
        <v>3787</v>
      </c>
      <c r="J696" s="212" t="s">
        <v>638</v>
      </c>
      <c r="K696" s="211" t="s">
        <v>524</v>
      </c>
      <c r="L696" s="211" t="s">
        <v>3830</v>
      </c>
      <c r="AD696" s="213"/>
    </row>
    <row r="697" spans="1:30" s="211" customFormat="1" x14ac:dyDescent="0.25">
      <c r="A697" s="211" t="s">
        <v>117</v>
      </c>
      <c r="B697" s="211">
        <v>853</v>
      </c>
      <c r="C697" s="211" t="s">
        <v>437</v>
      </c>
      <c r="D697" s="211">
        <v>502096887</v>
      </c>
      <c r="E697" s="211">
        <v>1060</v>
      </c>
      <c r="G697" s="211">
        <v>1004</v>
      </c>
      <c r="I697" s="211" t="s">
        <v>3378</v>
      </c>
      <c r="J697" s="212" t="s">
        <v>638</v>
      </c>
      <c r="K697" s="211" t="s">
        <v>524</v>
      </c>
      <c r="L697" s="211" t="s">
        <v>3417</v>
      </c>
      <c r="AD697" s="213"/>
    </row>
    <row r="698" spans="1:30" s="211" customFormat="1" x14ac:dyDescent="0.25">
      <c r="A698" s="211" t="s">
        <v>117</v>
      </c>
      <c r="B698" s="211">
        <v>855</v>
      </c>
      <c r="C698" s="211" t="s">
        <v>438</v>
      </c>
      <c r="D698" s="211">
        <v>191263330</v>
      </c>
      <c r="E698" s="211">
        <v>1080</v>
      </c>
      <c r="F698" s="211">
        <v>1274</v>
      </c>
      <c r="G698" s="211">
        <v>1004</v>
      </c>
      <c r="I698" s="211" t="s">
        <v>1557</v>
      </c>
      <c r="J698" s="212" t="s">
        <v>638</v>
      </c>
      <c r="K698" s="211" t="s">
        <v>524</v>
      </c>
      <c r="L698" s="211" t="s">
        <v>1571</v>
      </c>
      <c r="AD698" s="213"/>
    </row>
    <row r="699" spans="1:30" s="211" customFormat="1" x14ac:dyDescent="0.25">
      <c r="A699" s="211" t="s">
        <v>117</v>
      </c>
      <c r="B699" s="211">
        <v>855</v>
      </c>
      <c r="C699" s="211" t="s">
        <v>438</v>
      </c>
      <c r="D699" s="211">
        <v>192014737</v>
      </c>
      <c r="E699" s="211">
        <v>1060</v>
      </c>
      <c r="F699" s="211">
        <v>1242</v>
      </c>
      <c r="G699" s="211">
        <v>1004</v>
      </c>
      <c r="I699" s="211" t="s">
        <v>2375</v>
      </c>
      <c r="J699" s="212" t="s">
        <v>638</v>
      </c>
      <c r="K699" s="211" t="s">
        <v>524</v>
      </c>
      <c r="L699" s="211" t="s">
        <v>2384</v>
      </c>
      <c r="AD699" s="213"/>
    </row>
    <row r="700" spans="1:30" s="211" customFormat="1" x14ac:dyDescent="0.25">
      <c r="A700" s="211" t="s">
        <v>117</v>
      </c>
      <c r="B700" s="211">
        <v>855</v>
      </c>
      <c r="C700" s="211" t="s">
        <v>438</v>
      </c>
      <c r="D700" s="211">
        <v>192037728</v>
      </c>
      <c r="E700" s="211">
        <v>1060</v>
      </c>
      <c r="F700" s="211">
        <v>1271</v>
      </c>
      <c r="G700" s="211">
        <v>1003</v>
      </c>
      <c r="I700" s="211" t="s">
        <v>2929</v>
      </c>
      <c r="J700" s="212" t="s">
        <v>638</v>
      </c>
      <c r="K700" s="211" t="s">
        <v>639</v>
      </c>
      <c r="L700" s="211" t="s">
        <v>2940</v>
      </c>
      <c r="AD700" s="213"/>
    </row>
    <row r="701" spans="1:30" s="211" customFormat="1" x14ac:dyDescent="0.25">
      <c r="A701" s="211" t="s">
        <v>117</v>
      </c>
      <c r="B701" s="211">
        <v>855</v>
      </c>
      <c r="C701" s="211" t="s">
        <v>438</v>
      </c>
      <c r="D701" s="211">
        <v>502138462</v>
      </c>
      <c r="E701" s="211">
        <v>1060</v>
      </c>
      <c r="F701" s="211">
        <v>1271</v>
      </c>
      <c r="G701" s="211">
        <v>1004</v>
      </c>
      <c r="I701" s="211" t="s">
        <v>3040</v>
      </c>
      <c r="J701" s="212" t="s">
        <v>638</v>
      </c>
      <c r="K701" s="211" t="s">
        <v>524</v>
      </c>
      <c r="L701" s="211" t="s">
        <v>3120</v>
      </c>
      <c r="AD701" s="213"/>
    </row>
    <row r="702" spans="1:30" s="211" customFormat="1" x14ac:dyDescent="0.25">
      <c r="A702" s="211" t="s">
        <v>117</v>
      </c>
      <c r="B702" s="211">
        <v>861</v>
      </c>
      <c r="C702" s="211" t="s">
        <v>439</v>
      </c>
      <c r="D702" s="211">
        <v>191705866</v>
      </c>
      <c r="E702" s="211">
        <v>1080</v>
      </c>
      <c r="F702" s="211">
        <v>1274</v>
      </c>
      <c r="G702" s="211">
        <v>1004</v>
      </c>
      <c r="I702" s="211" t="s">
        <v>1449</v>
      </c>
      <c r="J702" s="212" t="s">
        <v>638</v>
      </c>
      <c r="K702" s="211" t="s">
        <v>639</v>
      </c>
      <c r="L702" s="211" t="s">
        <v>1481</v>
      </c>
      <c r="AD702" s="213"/>
    </row>
    <row r="703" spans="1:30" s="211" customFormat="1" x14ac:dyDescent="0.25">
      <c r="A703" s="211" t="s">
        <v>117</v>
      </c>
      <c r="B703" s="211">
        <v>861</v>
      </c>
      <c r="C703" s="211" t="s">
        <v>439</v>
      </c>
      <c r="D703" s="211">
        <v>192008282</v>
      </c>
      <c r="E703" s="211">
        <v>1060</v>
      </c>
      <c r="F703" s="211">
        <v>1251</v>
      </c>
      <c r="G703" s="211">
        <v>1004</v>
      </c>
      <c r="I703" s="211" t="s">
        <v>1674</v>
      </c>
      <c r="J703" s="212" t="s">
        <v>638</v>
      </c>
      <c r="K703" s="211" t="s">
        <v>639</v>
      </c>
      <c r="L703" s="211" t="s">
        <v>1683</v>
      </c>
      <c r="AD703" s="213"/>
    </row>
    <row r="704" spans="1:30" s="211" customFormat="1" x14ac:dyDescent="0.25">
      <c r="A704" s="211" t="s">
        <v>117</v>
      </c>
      <c r="B704" s="211">
        <v>863</v>
      </c>
      <c r="C704" s="211" t="s">
        <v>440</v>
      </c>
      <c r="D704" s="211">
        <v>1410819</v>
      </c>
      <c r="E704" s="211">
        <v>1020</v>
      </c>
      <c r="F704" s="211">
        <v>1110</v>
      </c>
      <c r="G704" s="211">
        <v>1004</v>
      </c>
      <c r="I704" s="211" t="s">
        <v>1519</v>
      </c>
      <c r="J704" s="212" t="s">
        <v>638</v>
      </c>
      <c r="K704" s="211" t="s">
        <v>639</v>
      </c>
      <c r="L704" s="211" t="s">
        <v>1548</v>
      </c>
      <c r="AD704" s="213"/>
    </row>
    <row r="705" spans="1:30" s="211" customFormat="1" x14ac:dyDescent="0.25">
      <c r="A705" s="211" t="s">
        <v>117</v>
      </c>
      <c r="B705" s="211">
        <v>863</v>
      </c>
      <c r="C705" s="211" t="s">
        <v>440</v>
      </c>
      <c r="D705" s="211">
        <v>192049153</v>
      </c>
      <c r="E705" s="211">
        <v>1060</v>
      </c>
      <c r="F705" s="211">
        <v>1271</v>
      </c>
      <c r="G705" s="211">
        <v>1004</v>
      </c>
      <c r="I705" s="211" t="s">
        <v>3294</v>
      </c>
      <c r="J705" s="212" t="s">
        <v>638</v>
      </c>
      <c r="K705" s="211" t="s">
        <v>524</v>
      </c>
      <c r="L705" s="211" t="s">
        <v>3343</v>
      </c>
      <c r="AD705" s="213"/>
    </row>
    <row r="706" spans="1:30" s="211" customFormat="1" x14ac:dyDescent="0.25">
      <c r="A706" s="211" t="s">
        <v>117</v>
      </c>
      <c r="B706" s="211">
        <v>863</v>
      </c>
      <c r="C706" s="211" t="s">
        <v>440</v>
      </c>
      <c r="D706" s="211">
        <v>502073134</v>
      </c>
      <c r="E706" s="211">
        <v>1060</v>
      </c>
      <c r="F706" s="211">
        <v>1271</v>
      </c>
      <c r="G706" s="211">
        <v>1004</v>
      </c>
      <c r="I706" s="211" t="s">
        <v>3295</v>
      </c>
      <c r="J706" s="212" t="s">
        <v>638</v>
      </c>
      <c r="K706" s="211" t="s">
        <v>524</v>
      </c>
      <c r="L706" s="211" t="s">
        <v>3344</v>
      </c>
      <c r="AD706" s="213"/>
    </row>
    <row r="707" spans="1:30" s="211" customFormat="1" x14ac:dyDescent="0.25">
      <c r="A707" s="211" t="s">
        <v>117</v>
      </c>
      <c r="B707" s="211">
        <v>866</v>
      </c>
      <c r="C707" s="211" t="s">
        <v>441</v>
      </c>
      <c r="D707" s="211">
        <v>101033252</v>
      </c>
      <c r="E707" s="211">
        <v>1020</v>
      </c>
      <c r="F707" s="211">
        <v>1110</v>
      </c>
      <c r="G707" s="211">
        <v>1004</v>
      </c>
      <c r="I707" s="211" t="s">
        <v>1348</v>
      </c>
      <c r="J707" s="212" t="s">
        <v>638</v>
      </c>
      <c r="K707" s="211" t="s">
        <v>639</v>
      </c>
      <c r="L707" s="211" t="s">
        <v>1422</v>
      </c>
      <c r="AD707" s="213"/>
    </row>
    <row r="708" spans="1:30" s="211" customFormat="1" x14ac:dyDescent="0.25">
      <c r="A708" s="211" t="s">
        <v>117</v>
      </c>
      <c r="B708" s="211">
        <v>866</v>
      </c>
      <c r="C708" s="211" t="s">
        <v>441</v>
      </c>
      <c r="D708" s="211">
        <v>101033255</v>
      </c>
      <c r="E708" s="211">
        <v>1020</v>
      </c>
      <c r="F708" s="211">
        <v>1110</v>
      </c>
      <c r="G708" s="211">
        <v>1004</v>
      </c>
      <c r="I708" s="211" t="s">
        <v>1349</v>
      </c>
      <c r="J708" s="212" t="s">
        <v>638</v>
      </c>
      <c r="K708" s="211" t="s">
        <v>639</v>
      </c>
      <c r="L708" s="211" t="s">
        <v>1423</v>
      </c>
      <c r="AD708" s="213"/>
    </row>
    <row r="709" spans="1:30" s="211" customFormat="1" x14ac:dyDescent="0.25">
      <c r="A709" s="211" t="s">
        <v>117</v>
      </c>
      <c r="B709" s="211">
        <v>866</v>
      </c>
      <c r="C709" s="211" t="s">
        <v>441</v>
      </c>
      <c r="D709" s="211">
        <v>101249497</v>
      </c>
      <c r="E709" s="211">
        <v>1020</v>
      </c>
      <c r="F709" s="211">
        <v>1110</v>
      </c>
      <c r="G709" s="211">
        <v>1004</v>
      </c>
      <c r="I709" s="211" t="s">
        <v>1350</v>
      </c>
      <c r="J709" s="212" t="s">
        <v>638</v>
      </c>
      <c r="K709" s="211" t="s">
        <v>639</v>
      </c>
      <c r="L709" s="211" t="s">
        <v>1424</v>
      </c>
      <c r="AD709" s="213"/>
    </row>
    <row r="710" spans="1:30" s="211" customFormat="1" x14ac:dyDescent="0.25">
      <c r="A710" s="211" t="s">
        <v>117</v>
      </c>
      <c r="B710" s="211">
        <v>866</v>
      </c>
      <c r="C710" s="211" t="s">
        <v>441</v>
      </c>
      <c r="D710" s="211">
        <v>191246050</v>
      </c>
      <c r="E710" s="211">
        <v>1020</v>
      </c>
      <c r="F710" s="211">
        <v>1110</v>
      </c>
      <c r="G710" s="211">
        <v>1004</v>
      </c>
      <c r="I710" s="211" t="s">
        <v>1351</v>
      </c>
      <c r="J710" s="212" t="s">
        <v>638</v>
      </c>
      <c r="K710" s="211" t="s">
        <v>639</v>
      </c>
      <c r="L710" s="211" t="s">
        <v>1425</v>
      </c>
      <c r="AD710" s="213"/>
    </row>
    <row r="711" spans="1:30" s="211" customFormat="1" x14ac:dyDescent="0.25">
      <c r="A711" s="211" t="s">
        <v>117</v>
      </c>
      <c r="B711" s="211">
        <v>866</v>
      </c>
      <c r="C711" s="211" t="s">
        <v>441</v>
      </c>
      <c r="D711" s="211">
        <v>191981933</v>
      </c>
      <c r="E711" s="211">
        <v>1060</v>
      </c>
      <c r="F711" s="211">
        <v>1242</v>
      </c>
      <c r="G711" s="211">
        <v>1004</v>
      </c>
      <c r="I711" s="211" t="s">
        <v>1352</v>
      </c>
      <c r="J711" s="212" t="s">
        <v>638</v>
      </c>
      <c r="K711" s="211" t="s">
        <v>524</v>
      </c>
      <c r="L711" s="211" t="s">
        <v>1397</v>
      </c>
      <c r="AD711" s="213"/>
    </row>
    <row r="712" spans="1:30" s="211" customFormat="1" x14ac:dyDescent="0.25">
      <c r="A712" s="211" t="s">
        <v>117</v>
      </c>
      <c r="B712" s="211">
        <v>866</v>
      </c>
      <c r="C712" s="211" t="s">
        <v>441</v>
      </c>
      <c r="D712" s="211">
        <v>192024764</v>
      </c>
      <c r="E712" s="211">
        <v>1060</v>
      </c>
      <c r="F712" s="211">
        <v>1242</v>
      </c>
      <c r="G712" s="211">
        <v>1004</v>
      </c>
      <c r="I712" s="211" t="s">
        <v>2198</v>
      </c>
      <c r="J712" s="212" t="s">
        <v>638</v>
      </c>
      <c r="K712" s="211" t="s">
        <v>524</v>
      </c>
      <c r="L712" s="211" t="s">
        <v>2208</v>
      </c>
      <c r="AD712" s="213"/>
    </row>
    <row r="713" spans="1:30" s="211" customFormat="1" x14ac:dyDescent="0.25">
      <c r="A713" s="211" t="s">
        <v>117</v>
      </c>
      <c r="B713" s="211">
        <v>866</v>
      </c>
      <c r="C713" s="211" t="s">
        <v>441</v>
      </c>
      <c r="D713" s="211">
        <v>502073286</v>
      </c>
      <c r="E713" s="211">
        <v>1080</v>
      </c>
      <c r="G713" s="211">
        <v>1004</v>
      </c>
      <c r="I713" s="211" t="s">
        <v>1353</v>
      </c>
      <c r="J713" s="212" t="s">
        <v>638</v>
      </c>
      <c r="K713" s="211" t="s">
        <v>639</v>
      </c>
      <c r="L713" s="211" t="s">
        <v>1426</v>
      </c>
      <c r="AD713" s="213"/>
    </row>
    <row r="714" spans="1:30" s="211" customFormat="1" x14ac:dyDescent="0.25">
      <c r="A714" s="211" t="s">
        <v>117</v>
      </c>
      <c r="B714" s="211">
        <v>867</v>
      </c>
      <c r="C714" s="211" t="s">
        <v>442</v>
      </c>
      <c r="D714" s="211">
        <v>191892217</v>
      </c>
      <c r="E714" s="211">
        <v>1080</v>
      </c>
      <c r="F714" s="211">
        <v>1274</v>
      </c>
      <c r="G714" s="211">
        <v>1004</v>
      </c>
      <c r="I714" s="211" t="s">
        <v>2477</v>
      </c>
      <c r="J714" s="212" t="s">
        <v>638</v>
      </c>
      <c r="K714" s="211" t="s">
        <v>639</v>
      </c>
      <c r="L714" s="211" t="s">
        <v>2504</v>
      </c>
      <c r="AD714" s="213"/>
    </row>
    <row r="715" spans="1:30" s="211" customFormat="1" x14ac:dyDescent="0.25">
      <c r="A715" s="211" t="s">
        <v>117</v>
      </c>
      <c r="B715" s="211">
        <v>868</v>
      </c>
      <c r="C715" s="211" t="s">
        <v>443</v>
      </c>
      <c r="D715" s="211">
        <v>191969984</v>
      </c>
      <c r="E715" s="211">
        <v>1060</v>
      </c>
      <c r="F715" s="211">
        <v>1242</v>
      </c>
      <c r="G715" s="211">
        <v>1004</v>
      </c>
      <c r="I715" s="211" t="s">
        <v>2478</v>
      </c>
      <c r="J715" s="212" t="s">
        <v>638</v>
      </c>
      <c r="K715" s="211" t="s">
        <v>524</v>
      </c>
      <c r="L715" s="211" t="s">
        <v>2501</v>
      </c>
      <c r="AD715" s="213"/>
    </row>
    <row r="716" spans="1:30" s="211" customFormat="1" x14ac:dyDescent="0.25">
      <c r="A716" s="211" t="s">
        <v>117</v>
      </c>
      <c r="B716" s="211">
        <v>869</v>
      </c>
      <c r="C716" s="211" t="s">
        <v>444</v>
      </c>
      <c r="D716" s="211">
        <v>191949011</v>
      </c>
      <c r="E716" s="211">
        <v>1020</v>
      </c>
      <c r="F716" s="211">
        <v>1110</v>
      </c>
      <c r="G716" s="211">
        <v>1004</v>
      </c>
      <c r="I716" s="211" t="s">
        <v>1354</v>
      </c>
      <c r="J716" s="212" t="s">
        <v>638</v>
      </c>
      <c r="K716" s="211" t="s">
        <v>639</v>
      </c>
      <c r="L716" s="211" t="s">
        <v>1427</v>
      </c>
      <c r="AD716" s="213"/>
    </row>
    <row r="717" spans="1:30" s="211" customFormat="1" x14ac:dyDescent="0.25">
      <c r="A717" s="211" t="s">
        <v>117</v>
      </c>
      <c r="B717" s="211">
        <v>869</v>
      </c>
      <c r="C717" s="211" t="s">
        <v>444</v>
      </c>
      <c r="D717" s="211">
        <v>191964479</v>
      </c>
      <c r="E717" s="211">
        <v>1060</v>
      </c>
      <c r="F717" s="211">
        <v>1242</v>
      </c>
      <c r="G717" s="211">
        <v>1004</v>
      </c>
      <c r="I717" s="211" t="s">
        <v>2217</v>
      </c>
      <c r="J717" s="212" t="s">
        <v>638</v>
      </c>
      <c r="K717" s="211" t="s">
        <v>524</v>
      </c>
      <c r="L717" s="211" t="s">
        <v>2221</v>
      </c>
      <c r="AD717" s="213"/>
    </row>
    <row r="718" spans="1:30" s="211" customFormat="1" x14ac:dyDescent="0.25">
      <c r="A718" s="211" t="s">
        <v>117</v>
      </c>
      <c r="B718" s="211">
        <v>869</v>
      </c>
      <c r="C718" s="211" t="s">
        <v>444</v>
      </c>
      <c r="D718" s="211">
        <v>504025515</v>
      </c>
      <c r="E718" s="211">
        <v>1060</v>
      </c>
      <c r="G718" s="211">
        <v>1004</v>
      </c>
      <c r="I718" s="211" t="s">
        <v>3623</v>
      </c>
      <c r="J718" s="212" t="s">
        <v>638</v>
      </c>
      <c r="K718" s="211" t="s">
        <v>524</v>
      </c>
      <c r="L718" s="211" t="s">
        <v>3700</v>
      </c>
      <c r="AD718" s="213"/>
    </row>
    <row r="719" spans="1:30" s="211" customFormat="1" x14ac:dyDescent="0.25">
      <c r="A719" s="211" t="s">
        <v>117</v>
      </c>
      <c r="B719" s="211">
        <v>870</v>
      </c>
      <c r="C719" s="211" t="s">
        <v>445</v>
      </c>
      <c r="D719" s="211">
        <v>191948545</v>
      </c>
      <c r="E719" s="211">
        <v>1080</v>
      </c>
      <c r="F719" s="211">
        <v>1242</v>
      </c>
      <c r="G719" s="211">
        <v>1004</v>
      </c>
      <c r="I719" s="211" t="s">
        <v>2793</v>
      </c>
      <c r="J719" s="212" t="s">
        <v>638</v>
      </c>
      <c r="K719" s="211" t="s">
        <v>639</v>
      </c>
      <c r="L719" s="211" t="s">
        <v>2842</v>
      </c>
      <c r="AD719" s="213"/>
    </row>
    <row r="720" spans="1:30" s="211" customFormat="1" x14ac:dyDescent="0.25">
      <c r="A720" s="211" t="s">
        <v>117</v>
      </c>
      <c r="B720" s="211">
        <v>870</v>
      </c>
      <c r="C720" s="211" t="s">
        <v>445</v>
      </c>
      <c r="D720" s="211">
        <v>191948546</v>
      </c>
      <c r="E720" s="211">
        <v>1080</v>
      </c>
      <c r="F720" s="211">
        <v>1242</v>
      </c>
      <c r="G720" s="211">
        <v>1004</v>
      </c>
      <c r="I720" s="211" t="s">
        <v>2479</v>
      </c>
      <c r="J720" s="212" t="s">
        <v>638</v>
      </c>
      <c r="K720" s="211" t="s">
        <v>639</v>
      </c>
      <c r="L720" s="211" t="s">
        <v>2505</v>
      </c>
      <c r="AD720" s="213"/>
    </row>
    <row r="721" spans="1:30" s="211" customFormat="1" x14ac:dyDescent="0.25">
      <c r="A721" s="211" t="s">
        <v>117</v>
      </c>
      <c r="B721" s="211">
        <v>870</v>
      </c>
      <c r="C721" s="211" t="s">
        <v>445</v>
      </c>
      <c r="D721" s="211">
        <v>192005752</v>
      </c>
      <c r="E721" s="211">
        <v>1060</v>
      </c>
      <c r="F721" s="211">
        <v>1274</v>
      </c>
      <c r="G721" s="211">
        <v>1004</v>
      </c>
      <c r="I721" s="211" t="s">
        <v>2132</v>
      </c>
      <c r="J721" s="212" t="s">
        <v>638</v>
      </c>
      <c r="K721" s="211" t="s">
        <v>524</v>
      </c>
      <c r="L721" s="211" t="s">
        <v>2142</v>
      </c>
      <c r="AD721" s="213"/>
    </row>
    <row r="722" spans="1:30" s="211" customFormat="1" x14ac:dyDescent="0.25">
      <c r="A722" s="211" t="s">
        <v>117</v>
      </c>
      <c r="B722" s="211">
        <v>872</v>
      </c>
      <c r="C722" s="211" t="s">
        <v>446</v>
      </c>
      <c r="D722" s="211">
        <v>1412912</v>
      </c>
      <c r="E722" s="211">
        <v>1030</v>
      </c>
      <c r="F722" s="211">
        <v>1121</v>
      </c>
      <c r="G722" s="211">
        <v>1004</v>
      </c>
      <c r="I722" s="211" t="s">
        <v>1520</v>
      </c>
      <c r="J722" s="212" t="s">
        <v>638</v>
      </c>
      <c r="K722" s="211" t="s">
        <v>524</v>
      </c>
      <c r="L722" s="211" t="s">
        <v>1534</v>
      </c>
      <c r="AD722" s="213"/>
    </row>
    <row r="723" spans="1:30" s="211" customFormat="1" x14ac:dyDescent="0.25">
      <c r="A723" s="211" t="s">
        <v>117</v>
      </c>
      <c r="B723" s="211">
        <v>872</v>
      </c>
      <c r="C723" s="211" t="s">
        <v>446</v>
      </c>
      <c r="D723" s="211">
        <v>191966710</v>
      </c>
      <c r="E723" s="211">
        <v>1060</v>
      </c>
      <c r="F723" s="211">
        <v>1242</v>
      </c>
      <c r="G723" s="211">
        <v>1004</v>
      </c>
      <c r="I723" s="211" t="s">
        <v>1521</v>
      </c>
      <c r="J723" s="212" t="s">
        <v>638</v>
      </c>
      <c r="K723" s="211" t="s">
        <v>524</v>
      </c>
      <c r="L723" s="211" t="s">
        <v>1535</v>
      </c>
      <c r="AD723" s="213"/>
    </row>
    <row r="724" spans="1:30" s="211" customFormat="1" x14ac:dyDescent="0.25">
      <c r="A724" s="211" t="s">
        <v>117</v>
      </c>
      <c r="B724" s="211">
        <v>872</v>
      </c>
      <c r="C724" s="211" t="s">
        <v>446</v>
      </c>
      <c r="D724" s="211">
        <v>191979553</v>
      </c>
      <c r="E724" s="211">
        <v>1060</v>
      </c>
      <c r="F724" s="211">
        <v>1271</v>
      </c>
      <c r="G724" s="211">
        <v>1004</v>
      </c>
      <c r="I724" s="211" t="s">
        <v>1522</v>
      </c>
      <c r="J724" s="212" t="s">
        <v>638</v>
      </c>
      <c r="K724" s="211" t="s">
        <v>524</v>
      </c>
      <c r="L724" s="211" t="s">
        <v>2826</v>
      </c>
      <c r="AD724" s="213"/>
    </row>
    <row r="725" spans="1:30" s="211" customFormat="1" x14ac:dyDescent="0.25">
      <c r="A725" s="211" t="s">
        <v>117</v>
      </c>
      <c r="B725" s="211">
        <v>872</v>
      </c>
      <c r="C725" s="211" t="s">
        <v>446</v>
      </c>
      <c r="D725" s="211">
        <v>191985837</v>
      </c>
      <c r="E725" s="211">
        <v>1020</v>
      </c>
      <c r="F725" s="211">
        <v>1110</v>
      </c>
      <c r="G725" s="211">
        <v>1004</v>
      </c>
      <c r="I725" s="211" t="s">
        <v>1523</v>
      </c>
      <c r="J725" s="212" t="s">
        <v>638</v>
      </c>
      <c r="K725" s="211" t="s">
        <v>524</v>
      </c>
      <c r="L725" s="211" t="s">
        <v>1536</v>
      </c>
      <c r="AD725" s="213"/>
    </row>
    <row r="726" spans="1:30" s="211" customFormat="1" x14ac:dyDescent="0.25">
      <c r="A726" s="211" t="s">
        <v>117</v>
      </c>
      <c r="B726" s="211">
        <v>872</v>
      </c>
      <c r="C726" s="211" t="s">
        <v>446</v>
      </c>
      <c r="D726" s="211">
        <v>191996578</v>
      </c>
      <c r="E726" s="211">
        <v>1060</v>
      </c>
      <c r="F726" s="211">
        <v>1271</v>
      </c>
      <c r="G726" s="211">
        <v>1004</v>
      </c>
      <c r="I726" s="211" t="s">
        <v>2218</v>
      </c>
      <c r="J726" s="212" t="s">
        <v>638</v>
      </c>
      <c r="K726" s="211" t="s">
        <v>524</v>
      </c>
      <c r="L726" s="211" t="s">
        <v>1537</v>
      </c>
      <c r="AD726" s="213"/>
    </row>
    <row r="727" spans="1:30" s="211" customFormat="1" x14ac:dyDescent="0.25">
      <c r="A727" s="211" t="s">
        <v>117</v>
      </c>
      <c r="B727" s="211">
        <v>872</v>
      </c>
      <c r="C727" s="211" t="s">
        <v>446</v>
      </c>
      <c r="D727" s="211">
        <v>191996581</v>
      </c>
      <c r="E727" s="211">
        <v>1060</v>
      </c>
      <c r="F727" s="211">
        <v>1274</v>
      </c>
      <c r="G727" s="211">
        <v>1004</v>
      </c>
      <c r="I727" s="211" t="s">
        <v>1524</v>
      </c>
      <c r="J727" s="212" t="s">
        <v>638</v>
      </c>
      <c r="K727" s="211" t="s">
        <v>524</v>
      </c>
      <c r="L727" s="211" t="s">
        <v>1538</v>
      </c>
      <c r="AD727" s="213"/>
    </row>
    <row r="728" spans="1:30" s="211" customFormat="1" x14ac:dyDescent="0.25">
      <c r="A728" s="211" t="s">
        <v>117</v>
      </c>
      <c r="B728" s="211">
        <v>872</v>
      </c>
      <c r="C728" s="211" t="s">
        <v>446</v>
      </c>
      <c r="D728" s="211">
        <v>191996582</v>
      </c>
      <c r="E728" s="211">
        <v>1060</v>
      </c>
      <c r="F728" s="211">
        <v>1271</v>
      </c>
      <c r="G728" s="211">
        <v>1004</v>
      </c>
      <c r="I728" s="211" t="s">
        <v>1525</v>
      </c>
      <c r="J728" s="212" t="s">
        <v>638</v>
      </c>
      <c r="K728" s="211" t="s">
        <v>524</v>
      </c>
      <c r="L728" s="211" t="s">
        <v>1539</v>
      </c>
      <c r="AD728" s="213"/>
    </row>
    <row r="729" spans="1:30" s="211" customFormat="1" x14ac:dyDescent="0.25">
      <c r="A729" s="211" t="s">
        <v>117</v>
      </c>
      <c r="B729" s="211">
        <v>872</v>
      </c>
      <c r="C729" s="211" t="s">
        <v>446</v>
      </c>
      <c r="D729" s="211">
        <v>191996583</v>
      </c>
      <c r="E729" s="211">
        <v>1060</v>
      </c>
      <c r="F729" s="211">
        <v>1274</v>
      </c>
      <c r="G729" s="211">
        <v>1004</v>
      </c>
      <c r="I729" s="211" t="s">
        <v>1526</v>
      </c>
      <c r="J729" s="212" t="s">
        <v>638</v>
      </c>
      <c r="K729" s="211" t="s">
        <v>524</v>
      </c>
      <c r="L729" s="211" t="s">
        <v>1540</v>
      </c>
      <c r="AD729" s="213"/>
    </row>
    <row r="730" spans="1:30" s="211" customFormat="1" x14ac:dyDescent="0.25">
      <c r="A730" s="211" t="s">
        <v>117</v>
      </c>
      <c r="B730" s="211">
        <v>872</v>
      </c>
      <c r="C730" s="211" t="s">
        <v>446</v>
      </c>
      <c r="D730" s="211">
        <v>191996586</v>
      </c>
      <c r="E730" s="211">
        <v>1060</v>
      </c>
      <c r="F730" s="211">
        <v>1252</v>
      </c>
      <c r="G730" s="211">
        <v>1004</v>
      </c>
      <c r="I730" s="211" t="s">
        <v>1527</v>
      </c>
      <c r="J730" s="212" t="s">
        <v>638</v>
      </c>
      <c r="K730" s="211" t="s">
        <v>524</v>
      </c>
      <c r="L730" s="211" t="s">
        <v>1541</v>
      </c>
      <c r="AD730" s="213"/>
    </row>
    <row r="731" spans="1:30" s="211" customFormat="1" x14ac:dyDescent="0.25">
      <c r="A731" s="211" t="s">
        <v>117</v>
      </c>
      <c r="B731" s="211">
        <v>872</v>
      </c>
      <c r="C731" s="211" t="s">
        <v>446</v>
      </c>
      <c r="D731" s="211">
        <v>191996592</v>
      </c>
      <c r="E731" s="211">
        <v>1060</v>
      </c>
      <c r="F731" s="211">
        <v>1274</v>
      </c>
      <c r="G731" s="211">
        <v>1004</v>
      </c>
      <c r="I731" s="211" t="s">
        <v>1528</v>
      </c>
      <c r="J731" s="212" t="s">
        <v>638</v>
      </c>
      <c r="K731" s="211" t="s">
        <v>524</v>
      </c>
      <c r="L731" s="211" t="s">
        <v>1542</v>
      </c>
      <c r="AD731" s="213"/>
    </row>
    <row r="732" spans="1:30" s="211" customFormat="1" x14ac:dyDescent="0.25">
      <c r="A732" s="211" t="s">
        <v>117</v>
      </c>
      <c r="B732" s="211">
        <v>872</v>
      </c>
      <c r="C732" s="211" t="s">
        <v>446</v>
      </c>
      <c r="D732" s="211">
        <v>191996594</v>
      </c>
      <c r="E732" s="211">
        <v>1060</v>
      </c>
      <c r="F732" s="211">
        <v>1242</v>
      </c>
      <c r="G732" s="211">
        <v>1004</v>
      </c>
      <c r="I732" s="211" t="s">
        <v>1529</v>
      </c>
      <c r="J732" s="212" t="s">
        <v>638</v>
      </c>
      <c r="K732" s="211" t="s">
        <v>524</v>
      </c>
      <c r="L732" s="211" t="s">
        <v>1543</v>
      </c>
      <c r="AD732" s="213"/>
    </row>
    <row r="733" spans="1:30" s="211" customFormat="1" x14ac:dyDescent="0.25">
      <c r="A733" s="211" t="s">
        <v>117</v>
      </c>
      <c r="B733" s="211">
        <v>872</v>
      </c>
      <c r="C733" s="211" t="s">
        <v>446</v>
      </c>
      <c r="D733" s="211">
        <v>191996599</v>
      </c>
      <c r="E733" s="211">
        <v>1060</v>
      </c>
      <c r="F733" s="211">
        <v>1274</v>
      </c>
      <c r="G733" s="211">
        <v>1004</v>
      </c>
      <c r="I733" s="211" t="s">
        <v>1530</v>
      </c>
      <c r="J733" s="212" t="s">
        <v>638</v>
      </c>
      <c r="K733" s="211" t="s">
        <v>524</v>
      </c>
      <c r="L733" s="211" t="s">
        <v>1544</v>
      </c>
      <c r="AD733" s="213"/>
    </row>
    <row r="734" spans="1:30" s="211" customFormat="1" x14ac:dyDescent="0.25">
      <c r="A734" s="211" t="s">
        <v>117</v>
      </c>
      <c r="B734" s="211">
        <v>872</v>
      </c>
      <c r="C734" s="211" t="s">
        <v>446</v>
      </c>
      <c r="D734" s="211">
        <v>191996601</v>
      </c>
      <c r="E734" s="211">
        <v>1060</v>
      </c>
      <c r="F734" s="211">
        <v>1274</v>
      </c>
      <c r="G734" s="211">
        <v>1004</v>
      </c>
      <c r="I734" s="211" t="s">
        <v>1531</v>
      </c>
      <c r="J734" s="212" t="s">
        <v>638</v>
      </c>
      <c r="K734" s="211" t="s">
        <v>524</v>
      </c>
      <c r="L734" s="211" t="s">
        <v>1545</v>
      </c>
      <c r="AD734" s="213"/>
    </row>
    <row r="735" spans="1:30" s="211" customFormat="1" x14ac:dyDescent="0.25">
      <c r="A735" s="211" t="s">
        <v>117</v>
      </c>
      <c r="B735" s="211">
        <v>872</v>
      </c>
      <c r="C735" s="211" t="s">
        <v>446</v>
      </c>
      <c r="D735" s="211">
        <v>191996605</v>
      </c>
      <c r="E735" s="211">
        <v>1060</v>
      </c>
      <c r="F735" s="211">
        <v>1271</v>
      </c>
      <c r="G735" s="211">
        <v>1004</v>
      </c>
      <c r="I735" s="211" t="s">
        <v>1532</v>
      </c>
      <c r="J735" s="212" t="s">
        <v>638</v>
      </c>
      <c r="K735" s="211" t="s">
        <v>524</v>
      </c>
      <c r="L735" s="211" t="s">
        <v>1546</v>
      </c>
      <c r="AD735" s="213"/>
    </row>
    <row r="736" spans="1:30" s="211" customFormat="1" x14ac:dyDescent="0.25">
      <c r="A736" s="211" t="s">
        <v>117</v>
      </c>
      <c r="B736" s="211">
        <v>872</v>
      </c>
      <c r="C736" s="211" t="s">
        <v>446</v>
      </c>
      <c r="D736" s="211">
        <v>192049372</v>
      </c>
      <c r="E736" s="211">
        <v>1060</v>
      </c>
      <c r="F736" s="211">
        <v>1274</v>
      </c>
      <c r="G736" s="211">
        <v>1004</v>
      </c>
      <c r="I736" s="211" t="s">
        <v>3379</v>
      </c>
      <c r="J736" s="212" t="s">
        <v>638</v>
      </c>
      <c r="K736" s="211" t="s">
        <v>524</v>
      </c>
      <c r="L736" s="211" t="s">
        <v>3418</v>
      </c>
      <c r="AD736" s="213"/>
    </row>
    <row r="737" spans="1:30" s="211" customFormat="1" x14ac:dyDescent="0.25">
      <c r="A737" s="211" t="s">
        <v>117</v>
      </c>
      <c r="B737" s="211">
        <v>877</v>
      </c>
      <c r="C737" s="211" t="s">
        <v>447</v>
      </c>
      <c r="D737" s="211">
        <v>192017711</v>
      </c>
      <c r="E737" s="211">
        <v>1060</v>
      </c>
      <c r="G737" s="211">
        <v>1004</v>
      </c>
      <c r="I737" s="211" t="s">
        <v>1921</v>
      </c>
      <c r="J737" s="212" t="s">
        <v>638</v>
      </c>
      <c r="K737" s="211" t="s">
        <v>524</v>
      </c>
      <c r="L737" s="211" t="s">
        <v>1953</v>
      </c>
      <c r="AD737" s="213"/>
    </row>
    <row r="738" spans="1:30" s="211" customFormat="1" x14ac:dyDescent="0.25">
      <c r="A738" s="211" t="s">
        <v>117</v>
      </c>
      <c r="B738" s="211">
        <v>877</v>
      </c>
      <c r="C738" s="211" t="s">
        <v>447</v>
      </c>
      <c r="D738" s="211">
        <v>192017764</v>
      </c>
      <c r="E738" s="211">
        <v>1060</v>
      </c>
      <c r="G738" s="211">
        <v>1004</v>
      </c>
      <c r="I738" s="211" t="s">
        <v>1922</v>
      </c>
      <c r="J738" s="212" t="s">
        <v>638</v>
      </c>
      <c r="K738" s="211" t="s">
        <v>524</v>
      </c>
      <c r="L738" s="211" t="s">
        <v>1954</v>
      </c>
      <c r="AD738" s="213"/>
    </row>
    <row r="739" spans="1:30" s="211" customFormat="1" x14ac:dyDescent="0.25">
      <c r="A739" s="211" t="s">
        <v>117</v>
      </c>
      <c r="B739" s="211">
        <v>877</v>
      </c>
      <c r="C739" s="211" t="s">
        <v>447</v>
      </c>
      <c r="D739" s="211">
        <v>192017807</v>
      </c>
      <c r="E739" s="211">
        <v>1060</v>
      </c>
      <c r="G739" s="211">
        <v>1004</v>
      </c>
      <c r="I739" s="211" t="s">
        <v>1923</v>
      </c>
      <c r="J739" s="212" t="s">
        <v>638</v>
      </c>
      <c r="K739" s="211" t="s">
        <v>524</v>
      </c>
      <c r="L739" s="211" t="s">
        <v>1955</v>
      </c>
      <c r="AD739" s="213"/>
    </row>
    <row r="740" spans="1:30" s="211" customFormat="1" x14ac:dyDescent="0.25">
      <c r="A740" s="211" t="s">
        <v>117</v>
      </c>
      <c r="B740" s="211">
        <v>877</v>
      </c>
      <c r="C740" s="211" t="s">
        <v>447</v>
      </c>
      <c r="D740" s="211">
        <v>192017808</v>
      </c>
      <c r="E740" s="211">
        <v>1060</v>
      </c>
      <c r="G740" s="211">
        <v>1004</v>
      </c>
      <c r="I740" s="211" t="s">
        <v>1924</v>
      </c>
      <c r="J740" s="212" t="s">
        <v>638</v>
      </c>
      <c r="K740" s="211" t="s">
        <v>524</v>
      </c>
      <c r="L740" s="211" t="s">
        <v>1956</v>
      </c>
      <c r="AD740" s="213"/>
    </row>
    <row r="741" spans="1:30" s="211" customFormat="1" x14ac:dyDescent="0.25">
      <c r="A741" s="211" t="s">
        <v>117</v>
      </c>
      <c r="B741" s="211">
        <v>877</v>
      </c>
      <c r="C741" s="211" t="s">
        <v>447</v>
      </c>
      <c r="D741" s="211">
        <v>192017809</v>
      </c>
      <c r="E741" s="211">
        <v>1060</v>
      </c>
      <c r="G741" s="211">
        <v>1004</v>
      </c>
      <c r="I741" s="211" t="s">
        <v>1925</v>
      </c>
      <c r="J741" s="212" t="s">
        <v>638</v>
      </c>
      <c r="K741" s="211" t="s">
        <v>524</v>
      </c>
      <c r="L741" s="211" t="s">
        <v>1957</v>
      </c>
      <c r="AD741" s="213"/>
    </row>
    <row r="742" spans="1:30" s="211" customFormat="1" x14ac:dyDescent="0.25">
      <c r="A742" s="211" t="s">
        <v>117</v>
      </c>
      <c r="B742" s="211">
        <v>877</v>
      </c>
      <c r="C742" s="211" t="s">
        <v>447</v>
      </c>
      <c r="D742" s="211">
        <v>192017810</v>
      </c>
      <c r="E742" s="211">
        <v>1060</v>
      </c>
      <c r="G742" s="211">
        <v>1004</v>
      </c>
      <c r="I742" s="211" t="s">
        <v>1926</v>
      </c>
      <c r="J742" s="212" t="s">
        <v>638</v>
      </c>
      <c r="K742" s="211" t="s">
        <v>524</v>
      </c>
      <c r="L742" s="211" t="s">
        <v>1958</v>
      </c>
      <c r="AD742" s="213"/>
    </row>
    <row r="743" spans="1:30" s="211" customFormat="1" x14ac:dyDescent="0.25">
      <c r="A743" s="211" t="s">
        <v>117</v>
      </c>
      <c r="B743" s="211">
        <v>877</v>
      </c>
      <c r="C743" s="211" t="s">
        <v>447</v>
      </c>
      <c r="D743" s="211">
        <v>192017812</v>
      </c>
      <c r="E743" s="211">
        <v>1080</v>
      </c>
      <c r="G743" s="211">
        <v>1004</v>
      </c>
      <c r="I743" s="211" t="s">
        <v>1927</v>
      </c>
      <c r="J743" s="212" t="s">
        <v>638</v>
      </c>
      <c r="K743" s="211" t="s">
        <v>524</v>
      </c>
      <c r="L743" s="211" t="s">
        <v>1959</v>
      </c>
      <c r="AD743" s="213"/>
    </row>
    <row r="744" spans="1:30" s="211" customFormat="1" x14ac:dyDescent="0.25">
      <c r="A744" s="211" t="s">
        <v>117</v>
      </c>
      <c r="B744" s="211">
        <v>877</v>
      </c>
      <c r="C744" s="211" t="s">
        <v>447</v>
      </c>
      <c r="D744" s="211">
        <v>192017813</v>
      </c>
      <c r="E744" s="211">
        <v>1060</v>
      </c>
      <c r="G744" s="211">
        <v>1004</v>
      </c>
      <c r="I744" s="211" t="s">
        <v>1928</v>
      </c>
      <c r="J744" s="212" t="s">
        <v>638</v>
      </c>
      <c r="K744" s="211" t="s">
        <v>524</v>
      </c>
      <c r="L744" s="211" t="s">
        <v>1960</v>
      </c>
      <c r="AD744" s="213"/>
    </row>
    <row r="745" spans="1:30" s="211" customFormat="1" x14ac:dyDescent="0.25">
      <c r="A745" s="211" t="s">
        <v>117</v>
      </c>
      <c r="B745" s="211">
        <v>877</v>
      </c>
      <c r="C745" s="211" t="s">
        <v>447</v>
      </c>
      <c r="D745" s="211">
        <v>192017814</v>
      </c>
      <c r="E745" s="211">
        <v>1060</v>
      </c>
      <c r="G745" s="211">
        <v>1004</v>
      </c>
      <c r="I745" s="211" t="s">
        <v>1929</v>
      </c>
      <c r="J745" s="212" t="s">
        <v>638</v>
      </c>
      <c r="K745" s="211" t="s">
        <v>524</v>
      </c>
      <c r="L745" s="211" t="s">
        <v>1961</v>
      </c>
      <c r="AD745" s="213"/>
    </row>
    <row r="746" spans="1:30" s="211" customFormat="1" x14ac:dyDescent="0.25">
      <c r="A746" s="211" t="s">
        <v>117</v>
      </c>
      <c r="B746" s="211">
        <v>877</v>
      </c>
      <c r="C746" s="211" t="s">
        <v>447</v>
      </c>
      <c r="D746" s="211">
        <v>192017815</v>
      </c>
      <c r="E746" s="211">
        <v>1060</v>
      </c>
      <c r="G746" s="211">
        <v>1004</v>
      </c>
      <c r="I746" s="211" t="s">
        <v>1930</v>
      </c>
      <c r="J746" s="212" t="s">
        <v>638</v>
      </c>
      <c r="K746" s="211" t="s">
        <v>524</v>
      </c>
      <c r="L746" s="211" t="s">
        <v>1962</v>
      </c>
      <c r="AD746" s="213"/>
    </row>
    <row r="747" spans="1:30" s="211" customFormat="1" x14ac:dyDescent="0.25">
      <c r="A747" s="211" t="s">
        <v>117</v>
      </c>
      <c r="B747" s="211">
        <v>877</v>
      </c>
      <c r="C747" s="211" t="s">
        <v>447</v>
      </c>
      <c r="D747" s="211">
        <v>192017837</v>
      </c>
      <c r="E747" s="211">
        <v>1060</v>
      </c>
      <c r="G747" s="211">
        <v>1004</v>
      </c>
      <c r="I747" s="211" t="s">
        <v>1931</v>
      </c>
      <c r="J747" s="212" t="s">
        <v>638</v>
      </c>
      <c r="K747" s="211" t="s">
        <v>524</v>
      </c>
      <c r="L747" s="211" t="s">
        <v>1963</v>
      </c>
      <c r="AD747" s="213"/>
    </row>
    <row r="748" spans="1:30" s="211" customFormat="1" x14ac:dyDescent="0.25">
      <c r="A748" s="211" t="s">
        <v>117</v>
      </c>
      <c r="B748" s="211">
        <v>877</v>
      </c>
      <c r="C748" s="211" t="s">
        <v>447</v>
      </c>
      <c r="D748" s="211">
        <v>192017838</v>
      </c>
      <c r="E748" s="211">
        <v>1060</v>
      </c>
      <c r="G748" s="211">
        <v>1004</v>
      </c>
      <c r="I748" s="211" t="s">
        <v>1932</v>
      </c>
      <c r="J748" s="212" t="s">
        <v>638</v>
      </c>
      <c r="K748" s="211" t="s">
        <v>524</v>
      </c>
      <c r="L748" s="211" t="s">
        <v>1964</v>
      </c>
      <c r="AD748" s="213"/>
    </row>
    <row r="749" spans="1:30" s="211" customFormat="1" x14ac:dyDescent="0.25">
      <c r="A749" s="211" t="s">
        <v>117</v>
      </c>
      <c r="B749" s="211">
        <v>877</v>
      </c>
      <c r="C749" s="211" t="s">
        <v>447</v>
      </c>
      <c r="D749" s="211">
        <v>192017839</v>
      </c>
      <c r="E749" s="211">
        <v>1060</v>
      </c>
      <c r="G749" s="211">
        <v>1004</v>
      </c>
      <c r="I749" s="211" t="s">
        <v>1933</v>
      </c>
      <c r="J749" s="212" t="s">
        <v>638</v>
      </c>
      <c r="K749" s="211" t="s">
        <v>524</v>
      </c>
      <c r="L749" s="211" t="s">
        <v>1965</v>
      </c>
      <c r="AD749" s="213"/>
    </row>
    <row r="750" spans="1:30" s="211" customFormat="1" x14ac:dyDescent="0.25">
      <c r="A750" s="211" t="s">
        <v>117</v>
      </c>
      <c r="B750" s="211">
        <v>877</v>
      </c>
      <c r="C750" s="211" t="s">
        <v>447</v>
      </c>
      <c r="D750" s="211">
        <v>192017840</v>
      </c>
      <c r="E750" s="211">
        <v>1060</v>
      </c>
      <c r="G750" s="211">
        <v>1004</v>
      </c>
      <c r="I750" s="211" t="s">
        <v>1934</v>
      </c>
      <c r="J750" s="212" t="s">
        <v>638</v>
      </c>
      <c r="K750" s="211" t="s">
        <v>524</v>
      </c>
      <c r="L750" s="211" t="s">
        <v>1966</v>
      </c>
      <c r="AD750" s="213"/>
    </row>
    <row r="751" spans="1:30" s="211" customFormat="1" x14ac:dyDescent="0.25">
      <c r="A751" s="211" t="s">
        <v>117</v>
      </c>
      <c r="B751" s="211">
        <v>877</v>
      </c>
      <c r="C751" s="211" t="s">
        <v>447</v>
      </c>
      <c r="D751" s="211">
        <v>192017841</v>
      </c>
      <c r="E751" s="211">
        <v>1060</v>
      </c>
      <c r="G751" s="211">
        <v>1004</v>
      </c>
      <c r="I751" s="211" t="s">
        <v>1935</v>
      </c>
      <c r="J751" s="212" t="s">
        <v>638</v>
      </c>
      <c r="K751" s="211" t="s">
        <v>524</v>
      </c>
      <c r="L751" s="211" t="s">
        <v>1967</v>
      </c>
      <c r="AD751" s="213"/>
    </row>
    <row r="752" spans="1:30" s="211" customFormat="1" x14ac:dyDescent="0.25">
      <c r="A752" s="211" t="s">
        <v>117</v>
      </c>
      <c r="B752" s="211">
        <v>877</v>
      </c>
      <c r="C752" s="211" t="s">
        <v>447</v>
      </c>
      <c r="D752" s="211">
        <v>192017842</v>
      </c>
      <c r="E752" s="211">
        <v>1060</v>
      </c>
      <c r="G752" s="211">
        <v>1004</v>
      </c>
      <c r="I752" s="211" t="s">
        <v>1936</v>
      </c>
      <c r="J752" s="212" t="s">
        <v>638</v>
      </c>
      <c r="K752" s="211" t="s">
        <v>524</v>
      </c>
      <c r="L752" s="211" t="s">
        <v>1968</v>
      </c>
      <c r="AD752" s="213"/>
    </row>
    <row r="753" spans="1:30" s="211" customFormat="1" x14ac:dyDescent="0.25">
      <c r="A753" s="211" t="s">
        <v>117</v>
      </c>
      <c r="B753" s="211">
        <v>877</v>
      </c>
      <c r="C753" s="211" t="s">
        <v>447</v>
      </c>
      <c r="D753" s="211">
        <v>192017843</v>
      </c>
      <c r="E753" s="211">
        <v>1060</v>
      </c>
      <c r="G753" s="211">
        <v>1004</v>
      </c>
      <c r="I753" s="211" t="s">
        <v>1937</v>
      </c>
      <c r="J753" s="212" t="s">
        <v>638</v>
      </c>
      <c r="K753" s="211" t="s">
        <v>524</v>
      </c>
      <c r="L753" s="211" t="s">
        <v>1969</v>
      </c>
      <c r="AD753" s="213"/>
    </row>
    <row r="754" spans="1:30" s="211" customFormat="1" x14ac:dyDescent="0.25">
      <c r="A754" s="211" t="s">
        <v>117</v>
      </c>
      <c r="B754" s="211">
        <v>877</v>
      </c>
      <c r="C754" s="211" t="s">
        <v>447</v>
      </c>
      <c r="D754" s="211">
        <v>192017846</v>
      </c>
      <c r="E754" s="211">
        <v>1060</v>
      </c>
      <c r="G754" s="211">
        <v>1004</v>
      </c>
      <c r="I754" s="211" t="s">
        <v>1938</v>
      </c>
      <c r="J754" s="212" t="s">
        <v>638</v>
      </c>
      <c r="K754" s="211" t="s">
        <v>524</v>
      </c>
      <c r="L754" s="211" t="s">
        <v>1970</v>
      </c>
      <c r="AD754" s="213"/>
    </row>
    <row r="755" spans="1:30" s="211" customFormat="1" x14ac:dyDescent="0.25">
      <c r="A755" s="211" t="s">
        <v>117</v>
      </c>
      <c r="B755" s="211">
        <v>877</v>
      </c>
      <c r="C755" s="211" t="s">
        <v>447</v>
      </c>
      <c r="D755" s="211">
        <v>192018270</v>
      </c>
      <c r="E755" s="211">
        <v>1080</v>
      </c>
      <c r="G755" s="211">
        <v>1004</v>
      </c>
      <c r="I755" s="211" t="s">
        <v>1988</v>
      </c>
      <c r="J755" s="212" t="s">
        <v>638</v>
      </c>
      <c r="K755" s="211" t="s">
        <v>524</v>
      </c>
      <c r="L755" s="211" t="s">
        <v>2018</v>
      </c>
      <c r="AD755" s="213"/>
    </row>
    <row r="756" spans="1:30" s="211" customFormat="1" x14ac:dyDescent="0.25">
      <c r="A756" s="211" t="s">
        <v>117</v>
      </c>
      <c r="B756" s="211">
        <v>877</v>
      </c>
      <c r="C756" s="211" t="s">
        <v>447</v>
      </c>
      <c r="D756" s="211">
        <v>192018271</v>
      </c>
      <c r="E756" s="211">
        <v>1080</v>
      </c>
      <c r="G756" s="211">
        <v>1004</v>
      </c>
      <c r="I756" s="211" t="s">
        <v>1989</v>
      </c>
      <c r="J756" s="212" t="s">
        <v>638</v>
      </c>
      <c r="K756" s="211" t="s">
        <v>524</v>
      </c>
      <c r="L756" s="211" t="s">
        <v>2019</v>
      </c>
      <c r="AD756" s="213"/>
    </row>
    <row r="757" spans="1:30" s="211" customFormat="1" x14ac:dyDescent="0.25">
      <c r="A757" s="211" t="s">
        <v>117</v>
      </c>
      <c r="B757" s="211">
        <v>877</v>
      </c>
      <c r="C757" s="211" t="s">
        <v>447</v>
      </c>
      <c r="D757" s="211">
        <v>192018272</v>
      </c>
      <c r="E757" s="211">
        <v>1080</v>
      </c>
      <c r="G757" s="211">
        <v>1004</v>
      </c>
      <c r="I757" s="211" t="s">
        <v>1990</v>
      </c>
      <c r="J757" s="212" t="s">
        <v>638</v>
      </c>
      <c r="K757" s="211" t="s">
        <v>524</v>
      </c>
      <c r="L757" s="211" t="s">
        <v>2020</v>
      </c>
      <c r="AD757" s="213"/>
    </row>
    <row r="758" spans="1:30" s="211" customFormat="1" x14ac:dyDescent="0.25">
      <c r="A758" s="211" t="s">
        <v>117</v>
      </c>
      <c r="B758" s="211">
        <v>877</v>
      </c>
      <c r="C758" s="211" t="s">
        <v>447</v>
      </c>
      <c r="D758" s="211">
        <v>192018273</v>
      </c>
      <c r="E758" s="211">
        <v>1080</v>
      </c>
      <c r="G758" s="211">
        <v>1004</v>
      </c>
      <c r="I758" s="211" t="s">
        <v>1991</v>
      </c>
      <c r="J758" s="212" t="s">
        <v>638</v>
      </c>
      <c r="K758" s="211" t="s">
        <v>524</v>
      </c>
      <c r="L758" s="211" t="s">
        <v>2021</v>
      </c>
      <c r="AD758" s="213"/>
    </row>
    <row r="759" spans="1:30" s="211" customFormat="1" x14ac:dyDescent="0.25">
      <c r="A759" s="211" t="s">
        <v>117</v>
      </c>
      <c r="B759" s="211">
        <v>877</v>
      </c>
      <c r="C759" s="211" t="s">
        <v>447</v>
      </c>
      <c r="D759" s="211">
        <v>192018274</v>
      </c>
      <c r="E759" s="211">
        <v>1080</v>
      </c>
      <c r="G759" s="211">
        <v>1004</v>
      </c>
      <c r="I759" s="211" t="s">
        <v>1992</v>
      </c>
      <c r="J759" s="212" t="s">
        <v>638</v>
      </c>
      <c r="K759" s="211" t="s">
        <v>524</v>
      </c>
      <c r="L759" s="211" t="s">
        <v>2022</v>
      </c>
      <c r="AD759" s="213"/>
    </row>
    <row r="760" spans="1:30" s="211" customFormat="1" x14ac:dyDescent="0.25">
      <c r="A760" s="211" t="s">
        <v>117</v>
      </c>
      <c r="B760" s="211">
        <v>877</v>
      </c>
      <c r="C760" s="211" t="s">
        <v>447</v>
      </c>
      <c r="D760" s="211">
        <v>192018275</v>
      </c>
      <c r="E760" s="211">
        <v>1080</v>
      </c>
      <c r="G760" s="211">
        <v>1004</v>
      </c>
      <c r="I760" s="211" t="s">
        <v>1993</v>
      </c>
      <c r="J760" s="212" t="s">
        <v>638</v>
      </c>
      <c r="K760" s="211" t="s">
        <v>524</v>
      </c>
      <c r="L760" s="211" t="s">
        <v>2023</v>
      </c>
      <c r="AD760" s="213"/>
    </row>
    <row r="761" spans="1:30" s="211" customFormat="1" x14ac:dyDescent="0.25">
      <c r="A761" s="211" t="s">
        <v>117</v>
      </c>
      <c r="B761" s="211">
        <v>877</v>
      </c>
      <c r="C761" s="211" t="s">
        <v>447</v>
      </c>
      <c r="D761" s="211">
        <v>192018276</v>
      </c>
      <c r="E761" s="211">
        <v>1080</v>
      </c>
      <c r="G761" s="211">
        <v>1004</v>
      </c>
      <c r="I761" s="211" t="s">
        <v>1994</v>
      </c>
      <c r="J761" s="212" t="s">
        <v>638</v>
      </c>
      <c r="K761" s="211" t="s">
        <v>524</v>
      </c>
      <c r="L761" s="211" t="s">
        <v>2024</v>
      </c>
      <c r="AD761" s="213"/>
    </row>
    <row r="762" spans="1:30" s="211" customFormat="1" x14ac:dyDescent="0.25">
      <c r="A762" s="211" t="s">
        <v>117</v>
      </c>
      <c r="B762" s="211">
        <v>877</v>
      </c>
      <c r="C762" s="211" t="s">
        <v>447</v>
      </c>
      <c r="D762" s="211">
        <v>192018277</v>
      </c>
      <c r="E762" s="211">
        <v>1080</v>
      </c>
      <c r="G762" s="211">
        <v>1004</v>
      </c>
      <c r="I762" s="211" t="s">
        <v>1995</v>
      </c>
      <c r="J762" s="212" t="s">
        <v>638</v>
      </c>
      <c r="K762" s="211" t="s">
        <v>524</v>
      </c>
      <c r="L762" s="211" t="s">
        <v>2025</v>
      </c>
      <c r="AD762" s="213"/>
    </row>
    <row r="763" spans="1:30" s="211" customFormat="1" x14ac:dyDescent="0.25">
      <c r="A763" s="211" t="s">
        <v>117</v>
      </c>
      <c r="B763" s="211">
        <v>877</v>
      </c>
      <c r="C763" s="211" t="s">
        <v>447</v>
      </c>
      <c r="D763" s="211">
        <v>192018278</v>
      </c>
      <c r="E763" s="211">
        <v>1080</v>
      </c>
      <c r="G763" s="211">
        <v>1004</v>
      </c>
      <c r="I763" s="211" t="s">
        <v>1996</v>
      </c>
      <c r="J763" s="212" t="s">
        <v>638</v>
      </c>
      <c r="K763" s="211" t="s">
        <v>524</v>
      </c>
      <c r="L763" s="211" t="s">
        <v>2026</v>
      </c>
      <c r="AD763" s="213"/>
    </row>
    <row r="764" spans="1:30" s="211" customFormat="1" x14ac:dyDescent="0.25">
      <c r="A764" s="211" t="s">
        <v>117</v>
      </c>
      <c r="B764" s="211">
        <v>877</v>
      </c>
      <c r="C764" s="211" t="s">
        <v>447</v>
      </c>
      <c r="D764" s="211">
        <v>192018279</v>
      </c>
      <c r="E764" s="211">
        <v>1080</v>
      </c>
      <c r="G764" s="211">
        <v>1004</v>
      </c>
      <c r="I764" s="211" t="s">
        <v>1997</v>
      </c>
      <c r="J764" s="212" t="s">
        <v>638</v>
      </c>
      <c r="K764" s="211" t="s">
        <v>524</v>
      </c>
      <c r="L764" s="211" t="s">
        <v>2027</v>
      </c>
      <c r="AD764" s="213"/>
    </row>
    <row r="765" spans="1:30" s="211" customFormat="1" x14ac:dyDescent="0.25">
      <c r="A765" s="211" t="s">
        <v>117</v>
      </c>
      <c r="B765" s="211">
        <v>877</v>
      </c>
      <c r="C765" s="211" t="s">
        <v>447</v>
      </c>
      <c r="D765" s="211">
        <v>192018280</v>
      </c>
      <c r="E765" s="211">
        <v>1080</v>
      </c>
      <c r="G765" s="211">
        <v>1004</v>
      </c>
      <c r="I765" s="211" t="s">
        <v>1998</v>
      </c>
      <c r="J765" s="212" t="s">
        <v>638</v>
      </c>
      <c r="K765" s="211" t="s">
        <v>524</v>
      </c>
      <c r="L765" s="211" t="s">
        <v>2028</v>
      </c>
      <c r="AD765" s="213"/>
    </row>
    <row r="766" spans="1:30" s="211" customFormat="1" x14ac:dyDescent="0.25">
      <c r="A766" s="211" t="s">
        <v>117</v>
      </c>
      <c r="B766" s="211">
        <v>877</v>
      </c>
      <c r="C766" s="211" t="s">
        <v>447</v>
      </c>
      <c r="D766" s="211">
        <v>192018281</v>
      </c>
      <c r="E766" s="211">
        <v>1080</v>
      </c>
      <c r="G766" s="211">
        <v>1004</v>
      </c>
      <c r="I766" s="211" t="s">
        <v>1999</v>
      </c>
      <c r="J766" s="212" t="s">
        <v>638</v>
      </c>
      <c r="K766" s="211" t="s">
        <v>524</v>
      </c>
      <c r="L766" s="211" t="s">
        <v>2029</v>
      </c>
      <c r="AD766" s="213"/>
    </row>
    <row r="767" spans="1:30" s="211" customFormat="1" x14ac:dyDescent="0.25">
      <c r="A767" s="211" t="s">
        <v>117</v>
      </c>
      <c r="B767" s="211">
        <v>877</v>
      </c>
      <c r="C767" s="211" t="s">
        <v>447</v>
      </c>
      <c r="D767" s="211">
        <v>192018282</v>
      </c>
      <c r="E767" s="211">
        <v>1080</v>
      </c>
      <c r="G767" s="211">
        <v>1004</v>
      </c>
      <c r="I767" s="211" t="s">
        <v>2000</v>
      </c>
      <c r="J767" s="212" t="s">
        <v>638</v>
      </c>
      <c r="K767" s="211" t="s">
        <v>524</v>
      </c>
      <c r="L767" s="211" t="s">
        <v>2030</v>
      </c>
      <c r="AD767" s="213"/>
    </row>
    <row r="768" spans="1:30" s="211" customFormat="1" x14ac:dyDescent="0.25">
      <c r="A768" s="211" t="s">
        <v>117</v>
      </c>
      <c r="B768" s="211">
        <v>877</v>
      </c>
      <c r="C768" s="211" t="s">
        <v>447</v>
      </c>
      <c r="D768" s="211">
        <v>192018283</v>
      </c>
      <c r="E768" s="211">
        <v>1080</v>
      </c>
      <c r="G768" s="211">
        <v>1004</v>
      </c>
      <c r="I768" s="211" t="s">
        <v>2001</v>
      </c>
      <c r="J768" s="212" t="s">
        <v>638</v>
      </c>
      <c r="K768" s="211" t="s">
        <v>524</v>
      </c>
      <c r="L768" s="211" t="s">
        <v>2031</v>
      </c>
      <c r="AD768" s="213"/>
    </row>
    <row r="769" spans="1:30" s="211" customFormat="1" x14ac:dyDescent="0.25">
      <c r="A769" s="211" t="s">
        <v>117</v>
      </c>
      <c r="B769" s="211">
        <v>877</v>
      </c>
      <c r="C769" s="211" t="s">
        <v>447</v>
      </c>
      <c r="D769" s="211">
        <v>192018284</v>
      </c>
      <c r="E769" s="211">
        <v>1080</v>
      </c>
      <c r="G769" s="211">
        <v>1004</v>
      </c>
      <c r="I769" s="211" t="s">
        <v>2002</v>
      </c>
      <c r="J769" s="212" t="s">
        <v>638</v>
      </c>
      <c r="K769" s="211" t="s">
        <v>524</v>
      </c>
      <c r="L769" s="211" t="s">
        <v>2032</v>
      </c>
      <c r="AD769" s="213"/>
    </row>
    <row r="770" spans="1:30" s="211" customFormat="1" x14ac:dyDescent="0.25">
      <c r="A770" s="211" t="s">
        <v>117</v>
      </c>
      <c r="B770" s="211">
        <v>877</v>
      </c>
      <c r="C770" s="211" t="s">
        <v>447</v>
      </c>
      <c r="D770" s="211">
        <v>192018415</v>
      </c>
      <c r="E770" s="211">
        <v>1080</v>
      </c>
      <c r="G770" s="211">
        <v>1004</v>
      </c>
      <c r="I770" s="211" t="s">
        <v>2003</v>
      </c>
      <c r="J770" s="212" t="s">
        <v>638</v>
      </c>
      <c r="K770" s="211" t="s">
        <v>524</v>
      </c>
      <c r="L770" s="211" t="s">
        <v>2033</v>
      </c>
      <c r="AD770" s="213"/>
    </row>
    <row r="771" spans="1:30" s="211" customFormat="1" x14ac:dyDescent="0.25">
      <c r="A771" s="211" t="s">
        <v>117</v>
      </c>
      <c r="B771" s="211">
        <v>877</v>
      </c>
      <c r="C771" s="211" t="s">
        <v>447</v>
      </c>
      <c r="D771" s="211">
        <v>192018444</v>
      </c>
      <c r="E771" s="211">
        <v>1080</v>
      </c>
      <c r="G771" s="211">
        <v>1004</v>
      </c>
      <c r="I771" s="211" t="s">
        <v>2004</v>
      </c>
      <c r="J771" s="212" t="s">
        <v>638</v>
      </c>
      <c r="K771" s="211" t="s">
        <v>524</v>
      </c>
      <c r="L771" s="211" t="s">
        <v>2034</v>
      </c>
      <c r="AD771" s="213"/>
    </row>
    <row r="772" spans="1:30" s="211" customFormat="1" x14ac:dyDescent="0.25">
      <c r="A772" s="211" t="s">
        <v>117</v>
      </c>
      <c r="B772" s="211">
        <v>877</v>
      </c>
      <c r="C772" s="211" t="s">
        <v>447</v>
      </c>
      <c r="D772" s="211">
        <v>192019959</v>
      </c>
      <c r="E772" s="211">
        <v>1060</v>
      </c>
      <c r="G772" s="211">
        <v>1004</v>
      </c>
      <c r="I772" s="211" t="s">
        <v>2088</v>
      </c>
      <c r="J772" s="212" t="s">
        <v>638</v>
      </c>
      <c r="K772" s="211" t="s">
        <v>524</v>
      </c>
      <c r="L772" s="211" t="s">
        <v>2090</v>
      </c>
      <c r="AD772" s="213"/>
    </row>
    <row r="773" spans="1:30" s="211" customFormat="1" x14ac:dyDescent="0.25">
      <c r="A773" s="211" t="s">
        <v>117</v>
      </c>
      <c r="B773" s="211">
        <v>879</v>
      </c>
      <c r="C773" s="211" t="s">
        <v>448</v>
      </c>
      <c r="D773" s="211">
        <v>191889257</v>
      </c>
      <c r="E773" s="211">
        <v>1060</v>
      </c>
      <c r="F773" s="211">
        <v>1274</v>
      </c>
      <c r="G773" s="211">
        <v>1004</v>
      </c>
      <c r="I773" s="211" t="s">
        <v>807</v>
      </c>
      <c r="J773" s="212" t="s">
        <v>638</v>
      </c>
      <c r="K773" s="211" t="s">
        <v>524</v>
      </c>
      <c r="L773" s="211" t="s">
        <v>893</v>
      </c>
      <c r="AD773" s="213"/>
    </row>
    <row r="774" spans="1:30" s="211" customFormat="1" x14ac:dyDescent="0.25">
      <c r="A774" s="211" t="s">
        <v>117</v>
      </c>
      <c r="B774" s="211">
        <v>879</v>
      </c>
      <c r="C774" s="211" t="s">
        <v>448</v>
      </c>
      <c r="D774" s="211">
        <v>191947901</v>
      </c>
      <c r="E774" s="211">
        <v>1060</v>
      </c>
      <c r="F774" s="211">
        <v>1271</v>
      </c>
      <c r="G774" s="211">
        <v>1004</v>
      </c>
      <c r="I774" s="211" t="s">
        <v>808</v>
      </c>
      <c r="J774" s="212" t="s">
        <v>638</v>
      </c>
      <c r="K774" s="211" t="s">
        <v>524</v>
      </c>
      <c r="L774" s="211" t="s">
        <v>894</v>
      </c>
      <c r="AD774" s="213"/>
    </row>
    <row r="775" spans="1:30" s="211" customFormat="1" x14ac:dyDescent="0.25">
      <c r="A775" s="211" t="s">
        <v>117</v>
      </c>
      <c r="B775" s="211">
        <v>879</v>
      </c>
      <c r="C775" s="211" t="s">
        <v>448</v>
      </c>
      <c r="D775" s="211">
        <v>191951408</v>
      </c>
      <c r="E775" s="211">
        <v>1060</v>
      </c>
      <c r="F775" s="211">
        <v>1251</v>
      </c>
      <c r="G775" s="211">
        <v>1004</v>
      </c>
      <c r="I775" s="211" t="s">
        <v>820</v>
      </c>
      <c r="J775" s="212" t="s">
        <v>638</v>
      </c>
      <c r="K775" s="211" t="s">
        <v>524</v>
      </c>
      <c r="L775" s="211" t="s">
        <v>895</v>
      </c>
      <c r="AD775" s="213"/>
    </row>
    <row r="776" spans="1:30" s="211" customFormat="1" x14ac:dyDescent="0.25">
      <c r="A776" s="211" t="s">
        <v>117</v>
      </c>
      <c r="B776" s="211">
        <v>879</v>
      </c>
      <c r="C776" s="211" t="s">
        <v>448</v>
      </c>
      <c r="D776" s="211">
        <v>191973674</v>
      </c>
      <c r="E776" s="211">
        <v>1060</v>
      </c>
      <c r="F776" s="211">
        <v>1242</v>
      </c>
      <c r="G776" s="211">
        <v>1004</v>
      </c>
      <c r="I776" s="211" t="s">
        <v>1304</v>
      </c>
      <c r="J776" s="212" t="s">
        <v>638</v>
      </c>
      <c r="K776" s="211" t="s">
        <v>524</v>
      </c>
      <c r="L776" s="211" t="s">
        <v>1315</v>
      </c>
      <c r="AD776" s="213"/>
    </row>
    <row r="777" spans="1:30" s="211" customFormat="1" x14ac:dyDescent="0.25">
      <c r="A777" s="211" t="s">
        <v>117</v>
      </c>
      <c r="B777" s="211">
        <v>879</v>
      </c>
      <c r="C777" s="211" t="s">
        <v>448</v>
      </c>
      <c r="D777" s="211">
        <v>191979800</v>
      </c>
      <c r="E777" s="211">
        <v>1060</v>
      </c>
      <c r="F777" s="211">
        <v>1274</v>
      </c>
      <c r="G777" s="211">
        <v>1004</v>
      </c>
      <c r="I777" s="211" t="s">
        <v>811</v>
      </c>
      <c r="J777" s="212" t="s">
        <v>638</v>
      </c>
      <c r="K777" s="211" t="s">
        <v>639</v>
      </c>
      <c r="L777" s="211" t="s">
        <v>927</v>
      </c>
      <c r="AD777" s="213"/>
    </row>
    <row r="778" spans="1:30" s="211" customFormat="1" x14ac:dyDescent="0.25">
      <c r="A778" s="211" t="s">
        <v>117</v>
      </c>
      <c r="B778" s="211">
        <v>879</v>
      </c>
      <c r="C778" s="211" t="s">
        <v>448</v>
      </c>
      <c r="D778" s="211">
        <v>191985916</v>
      </c>
      <c r="E778" s="211">
        <v>1080</v>
      </c>
      <c r="F778" s="211">
        <v>1274</v>
      </c>
      <c r="G778" s="211">
        <v>1004</v>
      </c>
      <c r="I778" s="211" t="s">
        <v>1450</v>
      </c>
      <c r="J778" s="212" t="s">
        <v>638</v>
      </c>
      <c r="K778" s="211" t="s">
        <v>639</v>
      </c>
      <c r="L778" s="211" t="s">
        <v>1482</v>
      </c>
      <c r="AD778" s="213"/>
    </row>
    <row r="779" spans="1:30" s="211" customFormat="1" x14ac:dyDescent="0.25">
      <c r="A779" s="211" t="s">
        <v>117</v>
      </c>
      <c r="B779" s="211">
        <v>879</v>
      </c>
      <c r="C779" s="211" t="s">
        <v>448</v>
      </c>
      <c r="D779" s="211">
        <v>191994133</v>
      </c>
      <c r="E779" s="211">
        <v>1060</v>
      </c>
      <c r="F779" s="211">
        <v>1274</v>
      </c>
      <c r="G779" s="211">
        <v>1004</v>
      </c>
      <c r="I779" s="211" t="s">
        <v>3240</v>
      </c>
      <c r="J779" s="212" t="s">
        <v>638</v>
      </c>
      <c r="K779" s="211" t="s">
        <v>524</v>
      </c>
      <c r="L779" s="211" t="s">
        <v>3255</v>
      </c>
      <c r="AD779" s="213"/>
    </row>
    <row r="780" spans="1:30" s="211" customFormat="1" x14ac:dyDescent="0.25">
      <c r="A780" s="211" t="s">
        <v>117</v>
      </c>
      <c r="B780" s="211">
        <v>879</v>
      </c>
      <c r="C780" s="211" t="s">
        <v>448</v>
      </c>
      <c r="D780" s="211">
        <v>192003978</v>
      </c>
      <c r="E780" s="211">
        <v>1060</v>
      </c>
      <c r="F780" s="211">
        <v>1274</v>
      </c>
      <c r="G780" s="211">
        <v>1004</v>
      </c>
      <c r="I780" s="211" t="s">
        <v>2199</v>
      </c>
      <c r="J780" s="212" t="s">
        <v>638</v>
      </c>
      <c r="K780" s="211" t="s">
        <v>524</v>
      </c>
      <c r="L780" s="211" t="s">
        <v>2209</v>
      </c>
      <c r="AD780" s="213"/>
    </row>
    <row r="781" spans="1:30" s="211" customFormat="1" x14ac:dyDescent="0.25">
      <c r="A781" s="211" t="s">
        <v>117</v>
      </c>
      <c r="B781" s="211">
        <v>879</v>
      </c>
      <c r="C781" s="211" t="s">
        <v>448</v>
      </c>
      <c r="D781" s="211">
        <v>192022857</v>
      </c>
      <c r="E781" s="211">
        <v>1060</v>
      </c>
      <c r="F781" s="211">
        <v>1242</v>
      </c>
      <c r="G781" s="211">
        <v>1003</v>
      </c>
      <c r="I781" s="211" t="s">
        <v>3241</v>
      </c>
      <c r="J781" s="212" t="s">
        <v>638</v>
      </c>
      <c r="K781" s="211" t="s">
        <v>639</v>
      </c>
      <c r="L781" s="211" t="s">
        <v>3260</v>
      </c>
      <c r="AD781" s="213"/>
    </row>
    <row r="782" spans="1:30" s="211" customFormat="1" x14ac:dyDescent="0.25">
      <c r="A782" s="211" t="s">
        <v>117</v>
      </c>
      <c r="B782" s="211">
        <v>879</v>
      </c>
      <c r="C782" s="211" t="s">
        <v>448</v>
      </c>
      <c r="D782" s="211">
        <v>502115094</v>
      </c>
      <c r="E782" s="211">
        <v>1060</v>
      </c>
      <c r="F782" s="211">
        <v>1242</v>
      </c>
      <c r="G782" s="211">
        <v>1004</v>
      </c>
      <c r="I782" s="211" t="s">
        <v>2005</v>
      </c>
      <c r="J782" s="212" t="s">
        <v>638</v>
      </c>
      <c r="K782" s="211" t="s">
        <v>524</v>
      </c>
      <c r="L782" s="211" t="s">
        <v>2035</v>
      </c>
      <c r="AD782" s="213"/>
    </row>
    <row r="783" spans="1:30" s="211" customFormat="1" x14ac:dyDescent="0.25">
      <c r="A783" s="211" t="s">
        <v>117</v>
      </c>
      <c r="B783" s="211">
        <v>879</v>
      </c>
      <c r="C783" s="211" t="s">
        <v>448</v>
      </c>
      <c r="D783" s="211">
        <v>502115206</v>
      </c>
      <c r="E783" s="211">
        <v>1060</v>
      </c>
      <c r="F783" s="211">
        <v>1242</v>
      </c>
      <c r="G783" s="211">
        <v>1004</v>
      </c>
      <c r="I783" s="211" t="s">
        <v>1319</v>
      </c>
      <c r="J783" s="212" t="s">
        <v>638</v>
      </c>
      <c r="K783" s="211" t="s">
        <v>524</v>
      </c>
      <c r="L783" s="211" t="s">
        <v>1320</v>
      </c>
      <c r="AD783" s="213"/>
    </row>
    <row r="784" spans="1:30" s="211" customFormat="1" x14ac:dyDescent="0.25">
      <c r="A784" s="211" t="s">
        <v>117</v>
      </c>
      <c r="B784" s="211">
        <v>880</v>
      </c>
      <c r="C784" s="211" t="s">
        <v>449</v>
      </c>
      <c r="D784" s="211">
        <v>1414538</v>
      </c>
      <c r="E784" s="211">
        <v>1040</v>
      </c>
      <c r="G784" s="211">
        <v>1004</v>
      </c>
      <c r="I784" s="211" t="s">
        <v>1355</v>
      </c>
      <c r="J784" s="212" t="s">
        <v>638</v>
      </c>
      <c r="K784" s="211" t="s">
        <v>524</v>
      </c>
      <c r="L784" s="211" t="s">
        <v>1398</v>
      </c>
      <c r="AD784" s="213"/>
    </row>
    <row r="785" spans="1:30" s="211" customFormat="1" x14ac:dyDescent="0.25">
      <c r="A785" s="211" t="s">
        <v>117</v>
      </c>
      <c r="B785" s="211">
        <v>880</v>
      </c>
      <c r="C785" s="211" t="s">
        <v>449</v>
      </c>
      <c r="D785" s="211">
        <v>190704229</v>
      </c>
      <c r="E785" s="211">
        <v>1060</v>
      </c>
      <c r="F785" s="211">
        <v>1271</v>
      </c>
      <c r="G785" s="211">
        <v>1004</v>
      </c>
      <c r="I785" s="211" t="s">
        <v>1604</v>
      </c>
      <c r="J785" s="212" t="s">
        <v>638</v>
      </c>
      <c r="K785" s="211" t="s">
        <v>524</v>
      </c>
      <c r="L785" s="211" t="s">
        <v>2210</v>
      </c>
      <c r="AD785" s="213"/>
    </row>
    <row r="786" spans="1:30" s="211" customFormat="1" x14ac:dyDescent="0.25">
      <c r="A786" s="211" t="s">
        <v>117</v>
      </c>
      <c r="B786" s="211">
        <v>880</v>
      </c>
      <c r="C786" s="211" t="s">
        <v>449</v>
      </c>
      <c r="D786" s="211">
        <v>191300771</v>
      </c>
      <c r="E786" s="211">
        <v>1080</v>
      </c>
      <c r="F786" s="211">
        <v>1271</v>
      </c>
      <c r="G786" s="211">
        <v>1004</v>
      </c>
      <c r="I786" s="211" t="s">
        <v>1356</v>
      </c>
      <c r="J786" s="212" t="s">
        <v>638</v>
      </c>
      <c r="K786" s="211" t="s">
        <v>524</v>
      </c>
      <c r="L786" s="211" t="s">
        <v>1399</v>
      </c>
      <c r="AD786" s="213"/>
    </row>
    <row r="787" spans="1:30" s="211" customFormat="1" x14ac:dyDescent="0.25">
      <c r="A787" s="211" t="s">
        <v>117</v>
      </c>
      <c r="B787" s="211">
        <v>880</v>
      </c>
      <c r="C787" s="211" t="s">
        <v>449</v>
      </c>
      <c r="D787" s="211">
        <v>191506692</v>
      </c>
      <c r="E787" s="211">
        <v>1060</v>
      </c>
      <c r="F787" s="211">
        <v>1271</v>
      </c>
      <c r="G787" s="211">
        <v>1004</v>
      </c>
      <c r="I787" s="211" t="s">
        <v>1357</v>
      </c>
      <c r="J787" s="212" t="s">
        <v>638</v>
      </c>
      <c r="K787" s="211" t="s">
        <v>524</v>
      </c>
      <c r="L787" s="211" t="s">
        <v>1400</v>
      </c>
      <c r="AD787" s="213"/>
    </row>
    <row r="788" spans="1:30" s="211" customFormat="1" x14ac:dyDescent="0.25">
      <c r="A788" s="211" t="s">
        <v>117</v>
      </c>
      <c r="B788" s="211">
        <v>880</v>
      </c>
      <c r="C788" s="211" t="s">
        <v>449</v>
      </c>
      <c r="D788" s="211">
        <v>191574094</v>
      </c>
      <c r="E788" s="211">
        <v>1020</v>
      </c>
      <c r="F788" s="211">
        <v>1122</v>
      </c>
      <c r="G788" s="211">
        <v>1004</v>
      </c>
      <c r="I788" s="211" t="s">
        <v>1358</v>
      </c>
      <c r="J788" s="212" t="s">
        <v>638</v>
      </c>
      <c r="K788" s="211" t="s">
        <v>524</v>
      </c>
      <c r="L788" s="211" t="s">
        <v>1401</v>
      </c>
      <c r="AD788" s="213"/>
    </row>
    <row r="789" spans="1:30" s="211" customFormat="1" x14ac:dyDescent="0.25">
      <c r="A789" s="211" t="s">
        <v>117</v>
      </c>
      <c r="B789" s="211">
        <v>880</v>
      </c>
      <c r="C789" s="211" t="s">
        <v>449</v>
      </c>
      <c r="D789" s="211">
        <v>191574134</v>
      </c>
      <c r="E789" s="211">
        <v>1060</v>
      </c>
      <c r="F789" s="211">
        <v>1261</v>
      </c>
      <c r="G789" s="211">
        <v>1004</v>
      </c>
      <c r="I789" s="211" t="s">
        <v>1359</v>
      </c>
      <c r="J789" s="212" t="s">
        <v>638</v>
      </c>
      <c r="K789" s="211" t="s">
        <v>524</v>
      </c>
      <c r="L789" s="211" t="s">
        <v>1402</v>
      </c>
      <c r="AD789" s="213"/>
    </row>
    <row r="790" spans="1:30" s="211" customFormat="1" x14ac:dyDescent="0.25">
      <c r="A790" s="211" t="s">
        <v>117</v>
      </c>
      <c r="B790" s="211">
        <v>880</v>
      </c>
      <c r="C790" s="211" t="s">
        <v>449</v>
      </c>
      <c r="D790" s="211">
        <v>191612313</v>
      </c>
      <c r="E790" s="211">
        <v>1060</v>
      </c>
      <c r="F790" s="211">
        <v>1271</v>
      </c>
      <c r="G790" s="211">
        <v>1004</v>
      </c>
      <c r="I790" s="211" t="s">
        <v>1360</v>
      </c>
      <c r="J790" s="212" t="s">
        <v>638</v>
      </c>
      <c r="K790" s="211" t="s">
        <v>524</v>
      </c>
      <c r="L790" s="211" t="s">
        <v>1403</v>
      </c>
      <c r="AD790" s="213"/>
    </row>
    <row r="791" spans="1:30" s="211" customFormat="1" x14ac:dyDescent="0.25">
      <c r="A791" s="211" t="s">
        <v>117</v>
      </c>
      <c r="B791" s="211">
        <v>880</v>
      </c>
      <c r="C791" s="211" t="s">
        <v>449</v>
      </c>
      <c r="D791" s="211">
        <v>191781031</v>
      </c>
      <c r="E791" s="211">
        <v>1080</v>
      </c>
      <c r="F791" s="211">
        <v>1274</v>
      </c>
      <c r="G791" s="211">
        <v>1004</v>
      </c>
      <c r="I791" s="211" t="s">
        <v>1361</v>
      </c>
      <c r="J791" s="212" t="s">
        <v>638</v>
      </c>
      <c r="K791" s="211" t="s">
        <v>524</v>
      </c>
      <c r="L791" s="211" t="s">
        <v>1404</v>
      </c>
      <c r="AD791" s="213"/>
    </row>
    <row r="792" spans="1:30" s="211" customFormat="1" x14ac:dyDescent="0.25">
      <c r="A792" s="211" t="s">
        <v>117</v>
      </c>
      <c r="B792" s="211">
        <v>880</v>
      </c>
      <c r="C792" s="211" t="s">
        <v>449</v>
      </c>
      <c r="D792" s="211">
        <v>191843665</v>
      </c>
      <c r="E792" s="211">
        <v>1060</v>
      </c>
      <c r="F792" s="211">
        <v>1263</v>
      </c>
      <c r="G792" s="211">
        <v>1004</v>
      </c>
      <c r="I792" s="211" t="s">
        <v>1362</v>
      </c>
      <c r="J792" s="212" t="s">
        <v>638</v>
      </c>
      <c r="K792" s="211" t="s">
        <v>524</v>
      </c>
      <c r="L792" s="211" t="s">
        <v>1405</v>
      </c>
      <c r="AD792" s="213"/>
    </row>
    <row r="793" spans="1:30" s="211" customFormat="1" x14ac:dyDescent="0.25">
      <c r="A793" s="211" t="s">
        <v>117</v>
      </c>
      <c r="B793" s="211">
        <v>880</v>
      </c>
      <c r="C793" s="211" t="s">
        <v>449</v>
      </c>
      <c r="D793" s="211">
        <v>191849446</v>
      </c>
      <c r="E793" s="211">
        <v>1060</v>
      </c>
      <c r="F793" s="211">
        <v>1242</v>
      </c>
      <c r="G793" s="211">
        <v>1004</v>
      </c>
      <c r="I793" s="211" t="s">
        <v>1363</v>
      </c>
      <c r="J793" s="212" t="s">
        <v>638</v>
      </c>
      <c r="K793" s="211" t="s">
        <v>524</v>
      </c>
      <c r="L793" s="211" t="s">
        <v>1406</v>
      </c>
      <c r="AD793" s="213"/>
    </row>
    <row r="794" spans="1:30" s="211" customFormat="1" x14ac:dyDescent="0.25">
      <c r="A794" s="211" t="s">
        <v>117</v>
      </c>
      <c r="B794" s="211">
        <v>880</v>
      </c>
      <c r="C794" s="211" t="s">
        <v>449</v>
      </c>
      <c r="D794" s="211">
        <v>191866288</v>
      </c>
      <c r="E794" s="211">
        <v>1060</v>
      </c>
      <c r="F794" s="211">
        <v>1271</v>
      </c>
      <c r="G794" s="211">
        <v>1004</v>
      </c>
      <c r="I794" s="211" t="s">
        <v>1364</v>
      </c>
      <c r="J794" s="212" t="s">
        <v>638</v>
      </c>
      <c r="K794" s="211" t="s">
        <v>524</v>
      </c>
      <c r="L794" s="211" t="s">
        <v>1407</v>
      </c>
      <c r="AD794" s="213"/>
    </row>
    <row r="795" spans="1:30" s="211" customFormat="1" x14ac:dyDescent="0.25">
      <c r="A795" s="211" t="s">
        <v>117</v>
      </c>
      <c r="B795" s="211">
        <v>883</v>
      </c>
      <c r="C795" s="211" t="s">
        <v>450</v>
      </c>
      <c r="D795" s="211">
        <v>191946460</v>
      </c>
      <c r="E795" s="211">
        <v>1060</v>
      </c>
      <c r="F795" s="211">
        <v>1220</v>
      </c>
      <c r="G795" s="211">
        <v>1004</v>
      </c>
      <c r="I795" s="211" t="s">
        <v>1451</v>
      </c>
      <c r="J795" s="212" t="s">
        <v>638</v>
      </c>
      <c r="K795" s="211" t="s">
        <v>524</v>
      </c>
      <c r="L795" s="211" t="s">
        <v>1470</v>
      </c>
      <c r="AD795" s="213"/>
    </row>
    <row r="796" spans="1:30" s="211" customFormat="1" x14ac:dyDescent="0.25">
      <c r="A796" s="211" t="s">
        <v>117</v>
      </c>
      <c r="B796" s="211">
        <v>883</v>
      </c>
      <c r="C796" s="211" t="s">
        <v>450</v>
      </c>
      <c r="D796" s="211">
        <v>192014905</v>
      </c>
      <c r="E796" s="211">
        <v>1060</v>
      </c>
      <c r="F796" s="211">
        <v>1274</v>
      </c>
      <c r="G796" s="211">
        <v>1004</v>
      </c>
      <c r="I796" s="211" t="s">
        <v>1809</v>
      </c>
      <c r="J796" s="212" t="s">
        <v>638</v>
      </c>
      <c r="K796" s="211" t="s">
        <v>639</v>
      </c>
      <c r="L796" s="211" t="s">
        <v>1831</v>
      </c>
      <c r="AD796" s="213"/>
    </row>
    <row r="797" spans="1:30" s="211" customFormat="1" x14ac:dyDescent="0.25">
      <c r="A797" s="211" t="s">
        <v>117</v>
      </c>
      <c r="B797" s="211">
        <v>883</v>
      </c>
      <c r="C797" s="211" t="s">
        <v>450</v>
      </c>
      <c r="D797" s="211">
        <v>192014906</v>
      </c>
      <c r="E797" s="211">
        <v>1060</v>
      </c>
      <c r="F797" s="211">
        <v>1274</v>
      </c>
      <c r="G797" s="211">
        <v>1004</v>
      </c>
      <c r="I797" s="211" t="s">
        <v>1809</v>
      </c>
      <c r="J797" s="212" t="s">
        <v>638</v>
      </c>
      <c r="K797" s="211" t="s">
        <v>639</v>
      </c>
      <c r="L797" s="211" t="s">
        <v>1831</v>
      </c>
      <c r="AD797" s="213"/>
    </row>
    <row r="798" spans="1:30" s="211" customFormat="1" x14ac:dyDescent="0.25">
      <c r="A798" s="211" t="s">
        <v>117</v>
      </c>
      <c r="B798" s="211">
        <v>883</v>
      </c>
      <c r="C798" s="211" t="s">
        <v>450</v>
      </c>
      <c r="D798" s="211">
        <v>192039682</v>
      </c>
      <c r="E798" s="211">
        <v>1060</v>
      </c>
      <c r="F798" s="211">
        <v>1252</v>
      </c>
      <c r="G798" s="211">
        <v>1004</v>
      </c>
      <c r="I798" s="211" t="s">
        <v>2718</v>
      </c>
      <c r="J798" s="212" t="s">
        <v>638</v>
      </c>
      <c r="K798" s="211" t="s">
        <v>639</v>
      </c>
      <c r="L798" s="211" t="s">
        <v>2742</v>
      </c>
      <c r="AD798" s="213"/>
    </row>
    <row r="799" spans="1:30" s="211" customFormat="1" x14ac:dyDescent="0.25">
      <c r="A799" s="211" t="s">
        <v>117</v>
      </c>
      <c r="B799" s="211">
        <v>884</v>
      </c>
      <c r="C799" s="211" t="s">
        <v>451</v>
      </c>
      <c r="D799" s="211">
        <v>504026017</v>
      </c>
      <c r="E799" s="211">
        <v>1060</v>
      </c>
      <c r="F799" s="211">
        <v>1271</v>
      </c>
      <c r="G799" s="211">
        <v>1004</v>
      </c>
      <c r="I799" s="211" t="s">
        <v>3554</v>
      </c>
      <c r="J799" s="212" t="s">
        <v>638</v>
      </c>
      <c r="K799" s="211" t="s">
        <v>524</v>
      </c>
      <c r="L799" s="211" t="s">
        <v>3587</v>
      </c>
      <c r="AD799" s="213"/>
    </row>
    <row r="800" spans="1:30" s="211" customFormat="1" x14ac:dyDescent="0.25">
      <c r="A800" s="211" t="s">
        <v>117</v>
      </c>
      <c r="B800" s="211">
        <v>885</v>
      </c>
      <c r="C800" s="211" t="s">
        <v>452</v>
      </c>
      <c r="D800" s="211">
        <v>192047507</v>
      </c>
      <c r="E800" s="211">
        <v>1060</v>
      </c>
      <c r="F800" s="211">
        <v>1242</v>
      </c>
      <c r="G800" s="211">
        <v>1004</v>
      </c>
      <c r="I800" s="211" t="s">
        <v>3204</v>
      </c>
      <c r="J800" s="212" t="s">
        <v>638</v>
      </c>
      <c r="K800" s="211" t="s">
        <v>639</v>
      </c>
      <c r="L800" s="211" t="s">
        <v>3210</v>
      </c>
      <c r="AD800" s="213"/>
    </row>
    <row r="801" spans="1:30" s="211" customFormat="1" x14ac:dyDescent="0.25">
      <c r="A801" s="211" t="s">
        <v>117</v>
      </c>
      <c r="B801" s="211">
        <v>885</v>
      </c>
      <c r="C801" s="211" t="s">
        <v>452</v>
      </c>
      <c r="D801" s="211">
        <v>192049409</v>
      </c>
      <c r="E801" s="211">
        <v>1060</v>
      </c>
      <c r="F801" s="211">
        <v>1242</v>
      </c>
      <c r="G801" s="211">
        <v>1003</v>
      </c>
      <c r="I801" s="211" t="s">
        <v>3380</v>
      </c>
      <c r="J801" s="212" t="s">
        <v>638</v>
      </c>
      <c r="K801" s="211" t="s">
        <v>639</v>
      </c>
      <c r="L801" s="211" t="s">
        <v>3423</v>
      </c>
      <c r="AD801" s="213"/>
    </row>
    <row r="802" spans="1:30" s="211" customFormat="1" x14ac:dyDescent="0.25">
      <c r="A802" s="211" t="s">
        <v>117</v>
      </c>
      <c r="B802" s="211">
        <v>885</v>
      </c>
      <c r="C802" s="211" t="s">
        <v>452</v>
      </c>
      <c r="D802" s="211">
        <v>502017415</v>
      </c>
      <c r="E802" s="211">
        <v>1060</v>
      </c>
      <c r="F802" s="211">
        <v>1271</v>
      </c>
      <c r="G802" s="211">
        <v>1004</v>
      </c>
      <c r="I802" s="211" t="s">
        <v>3041</v>
      </c>
      <c r="J802" s="212" t="s">
        <v>638</v>
      </c>
      <c r="K802" s="211" t="s">
        <v>524</v>
      </c>
      <c r="L802" s="211" t="s">
        <v>3121</v>
      </c>
      <c r="AD802" s="213"/>
    </row>
    <row r="803" spans="1:30" s="211" customFormat="1" x14ac:dyDescent="0.25">
      <c r="A803" s="211" t="s">
        <v>117</v>
      </c>
      <c r="B803" s="211">
        <v>885</v>
      </c>
      <c r="C803" s="211" t="s">
        <v>452</v>
      </c>
      <c r="D803" s="211">
        <v>502017416</v>
      </c>
      <c r="E803" s="211">
        <v>1080</v>
      </c>
      <c r="F803" s="211">
        <v>1271</v>
      </c>
      <c r="G803" s="211">
        <v>1004</v>
      </c>
      <c r="I803" s="211" t="s">
        <v>3042</v>
      </c>
      <c r="J803" s="212" t="s">
        <v>638</v>
      </c>
      <c r="K803" s="211" t="s">
        <v>524</v>
      </c>
      <c r="L803" s="211" t="s">
        <v>3122</v>
      </c>
      <c r="AD803" s="213"/>
    </row>
    <row r="804" spans="1:30" s="211" customFormat="1" x14ac:dyDescent="0.25">
      <c r="A804" s="211" t="s">
        <v>117</v>
      </c>
      <c r="B804" s="211">
        <v>885</v>
      </c>
      <c r="C804" s="211" t="s">
        <v>452</v>
      </c>
      <c r="D804" s="211">
        <v>502017418</v>
      </c>
      <c r="E804" s="211">
        <v>1060</v>
      </c>
      <c r="F804" s="211">
        <v>1271</v>
      </c>
      <c r="G804" s="211">
        <v>1004</v>
      </c>
      <c r="I804" s="211" t="s">
        <v>3043</v>
      </c>
      <c r="J804" s="212" t="s">
        <v>638</v>
      </c>
      <c r="K804" s="211" t="s">
        <v>524</v>
      </c>
      <c r="L804" s="211" t="s">
        <v>3123</v>
      </c>
      <c r="AD804" s="213"/>
    </row>
    <row r="805" spans="1:30" s="211" customFormat="1" x14ac:dyDescent="0.25">
      <c r="A805" s="211" t="s">
        <v>117</v>
      </c>
      <c r="B805" s="211">
        <v>886</v>
      </c>
      <c r="C805" s="211" t="s">
        <v>453</v>
      </c>
      <c r="D805" s="211">
        <v>192017210</v>
      </c>
      <c r="E805" s="211">
        <v>1060</v>
      </c>
      <c r="F805" s="211">
        <v>1252</v>
      </c>
      <c r="G805" s="211">
        <v>1004</v>
      </c>
      <c r="I805" s="211" t="s">
        <v>1858</v>
      </c>
      <c r="J805" s="212" t="s">
        <v>638</v>
      </c>
      <c r="K805" s="211" t="s">
        <v>524</v>
      </c>
      <c r="L805" s="211" t="s">
        <v>1894</v>
      </c>
      <c r="AD805" s="213"/>
    </row>
    <row r="806" spans="1:30" s="211" customFormat="1" x14ac:dyDescent="0.25">
      <c r="A806" s="211" t="s">
        <v>117</v>
      </c>
      <c r="B806" s="211">
        <v>886</v>
      </c>
      <c r="C806" s="211" t="s">
        <v>453</v>
      </c>
      <c r="D806" s="211">
        <v>192017211</v>
      </c>
      <c r="E806" s="211">
        <v>1060</v>
      </c>
      <c r="F806" s="211">
        <v>1252</v>
      </c>
      <c r="G806" s="211">
        <v>1004</v>
      </c>
      <c r="I806" s="211" t="s">
        <v>1859</v>
      </c>
      <c r="J806" s="212" t="s">
        <v>638</v>
      </c>
      <c r="K806" s="211" t="s">
        <v>524</v>
      </c>
      <c r="L806" s="211" t="s">
        <v>1895</v>
      </c>
      <c r="AD806" s="213"/>
    </row>
    <row r="807" spans="1:30" s="211" customFormat="1" x14ac:dyDescent="0.25">
      <c r="A807" s="211" t="s">
        <v>117</v>
      </c>
      <c r="B807" s="211">
        <v>886</v>
      </c>
      <c r="C807" s="211" t="s">
        <v>453</v>
      </c>
      <c r="D807" s="211">
        <v>192017226</v>
      </c>
      <c r="E807" s="211">
        <v>1060</v>
      </c>
      <c r="F807" s="211">
        <v>1252</v>
      </c>
      <c r="G807" s="211">
        <v>1004</v>
      </c>
      <c r="I807" s="211" t="s">
        <v>1860</v>
      </c>
      <c r="J807" s="212" t="s">
        <v>638</v>
      </c>
      <c r="K807" s="211" t="s">
        <v>524</v>
      </c>
      <c r="L807" s="211" t="s">
        <v>1896</v>
      </c>
      <c r="AD807" s="213"/>
    </row>
    <row r="808" spans="1:30" s="211" customFormat="1" x14ac:dyDescent="0.25">
      <c r="A808" s="211" t="s">
        <v>117</v>
      </c>
      <c r="B808" s="211">
        <v>886</v>
      </c>
      <c r="C808" s="211" t="s">
        <v>453</v>
      </c>
      <c r="D808" s="211">
        <v>192017301</v>
      </c>
      <c r="E808" s="211">
        <v>1060</v>
      </c>
      <c r="F808" s="211">
        <v>1252</v>
      </c>
      <c r="G808" s="211">
        <v>1004</v>
      </c>
      <c r="I808" s="211" t="s">
        <v>1861</v>
      </c>
      <c r="J808" s="212" t="s">
        <v>638</v>
      </c>
      <c r="K808" s="211" t="s">
        <v>524</v>
      </c>
      <c r="L808" s="211" t="s">
        <v>1897</v>
      </c>
      <c r="AD808" s="213"/>
    </row>
    <row r="809" spans="1:30" s="211" customFormat="1" x14ac:dyDescent="0.25">
      <c r="A809" s="211" t="s">
        <v>117</v>
      </c>
      <c r="B809" s="211">
        <v>886</v>
      </c>
      <c r="C809" s="211" t="s">
        <v>453</v>
      </c>
      <c r="D809" s="211">
        <v>192017304</v>
      </c>
      <c r="E809" s="211">
        <v>1060</v>
      </c>
      <c r="F809" s="211">
        <v>1242</v>
      </c>
      <c r="G809" s="211">
        <v>1004</v>
      </c>
      <c r="I809" s="211" t="s">
        <v>1862</v>
      </c>
      <c r="J809" s="212" t="s">
        <v>638</v>
      </c>
      <c r="K809" s="211" t="s">
        <v>524</v>
      </c>
      <c r="L809" s="211" t="s">
        <v>1898</v>
      </c>
      <c r="AD809" s="213"/>
    </row>
    <row r="810" spans="1:30" s="211" customFormat="1" x14ac:dyDescent="0.25">
      <c r="A810" s="211" t="s">
        <v>117</v>
      </c>
      <c r="B810" s="211">
        <v>886</v>
      </c>
      <c r="C810" s="211" t="s">
        <v>453</v>
      </c>
      <c r="D810" s="211">
        <v>192017307</v>
      </c>
      <c r="E810" s="211">
        <v>1060</v>
      </c>
      <c r="F810" s="211">
        <v>1252</v>
      </c>
      <c r="G810" s="211">
        <v>1004</v>
      </c>
      <c r="I810" s="211" t="s">
        <v>1863</v>
      </c>
      <c r="J810" s="212" t="s">
        <v>638</v>
      </c>
      <c r="K810" s="211" t="s">
        <v>524</v>
      </c>
      <c r="L810" s="211" t="s">
        <v>1899</v>
      </c>
      <c r="AD810" s="213"/>
    </row>
    <row r="811" spans="1:30" s="211" customFormat="1" x14ac:dyDescent="0.25">
      <c r="A811" s="211" t="s">
        <v>117</v>
      </c>
      <c r="B811" s="211">
        <v>886</v>
      </c>
      <c r="C811" s="211" t="s">
        <v>453</v>
      </c>
      <c r="D811" s="211">
        <v>192017308</v>
      </c>
      <c r="E811" s="211">
        <v>1060</v>
      </c>
      <c r="F811" s="211">
        <v>1252</v>
      </c>
      <c r="G811" s="211">
        <v>1004</v>
      </c>
      <c r="I811" s="211" t="s">
        <v>1864</v>
      </c>
      <c r="J811" s="212" t="s">
        <v>638</v>
      </c>
      <c r="K811" s="211" t="s">
        <v>524</v>
      </c>
      <c r="L811" s="211" t="s">
        <v>1900</v>
      </c>
      <c r="AD811" s="213"/>
    </row>
    <row r="812" spans="1:30" s="211" customFormat="1" x14ac:dyDescent="0.25">
      <c r="A812" s="211" t="s">
        <v>117</v>
      </c>
      <c r="B812" s="211">
        <v>886</v>
      </c>
      <c r="C812" s="211" t="s">
        <v>453</v>
      </c>
      <c r="D812" s="211">
        <v>192017309</v>
      </c>
      <c r="E812" s="211">
        <v>1060</v>
      </c>
      <c r="F812" s="211">
        <v>1252</v>
      </c>
      <c r="G812" s="211">
        <v>1004</v>
      </c>
      <c r="I812" s="211" t="s">
        <v>1865</v>
      </c>
      <c r="J812" s="212" t="s">
        <v>638</v>
      </c>
      <c r="K812" s="211" t="s">
        <v>524</v>
      </c>
      <c r="L812" s="211" t="s">
        <v>1901</v>
      </c>
      <c r="AD812" s="213"/>
    </row>
    <row r="813" spans="1:30" s="211" customFormat="1" x14ac:dyDescent="0.25">
      <c r="A813" s="211" t="s">
        <v>117</v>
      </c>
      <c r="B813" s="211">
        <v>886</v>
      </c>
      <c r="C813" s="211" t="s">
        <v>453</v>
      </c>
      <c r="D813" s="211">
        <v>192017310</v>
      </c>
      <c r="E813" s="211">
        <v>1060</v>
      </c>
      <c r="F813" s="211">
        <v>1252</v>
      </c>
      <c r="G813" s="211">
        <v>1004</v>
      </c>
      <c r="I813" s="211" t="s">
        <v>1866</v>
      </c>
      <c r="J813" s="212" t="s">
        <v>638</v>
      </c>
      <c r="K813" s="211" t="s">
        <v>524</v>
      </c>
      <c r="L813" s="211" t="s">
        <v>1902</v>
      </c>
      <c r="AD813" s="213"/>
    </row>
    <row r="814" spans="1:30" s="211" customFormat="1" x14ac:dyDescent="0.25">
      <c r="A814" s="211" t="s">
        <v>117</v>
      </c>
      <c r="B814" s="211">
        <v>886</v>
      </c>
      <c r="C814" s="211" t="s">
        <v>453</v>
      </c>
      <c r="D814" s="211">
        <v>192017315</v>
      </c>
      <c r="E814" s="211">
        <v>1060</v>
      </c>
      <c r="F814" s="211">
        <v>1274</v>
      </c>
      <c r="G814" s="211">
        <v>1004</v>
      </c>
      <c r="I814" s="211" t="s">
        <v>1867</v>
      </c>
      <c r="J814" s="212" t="s">
        <v>638</v>
      </c>
      <c r="K814" s="211" t="s">
        <v>524</v>
      </c>
      <c r="L814" s="211" t="s">
        <v>1903</v>
      </c>
      <c r="AD814" s="213"/>
    </row>
    <row r="815" spans="1:30" s="211" customFormat="1" x14ac:dyDescent="0.25">
      <c r="A815" s="211" t="s">
        <v>117</v>
      </c>
      <c r="B815" s="211">
        <v>886</v>
      </c>
      <c r="C815" s="211" t="s">
        <v>453</v>
      </c>
      <c r="D815" s="211">
        <v>192017316</v>
      </c>
      <c r="E815" s="211">
        <v>1060</v>
      </c>
      <c r="F815" s="211">
        <v>1274</v>
      </c>
      <c r="G815" s="211">
        <v>1004</v>
      </c>
      <c r="I815" s="211" t="s">
        <v>1868</v>
      </c>
      <c r="J815" s="212" t="s">
        <v>638</v>
      </c>
      <c r="K815" s="211" t="s">
        <v>524</v>
      </c>
      <c r="L815" s="211" t="s">
        <v>1904</v>
      </c>
      <c r="AD815" s="213"/>
    </row>
    <row r="816" spans="1:30" s="211" customFormat="1" x14ac:dyDescent="0.25">
      <c r="A816" s="211" t="s">
        <v>117</v>
      </c>
      <c r="B816" s="211">
        <v>886</v>
      </c>
      <c r="C816" s="211" t="s">
        <v>453</v>
      </c>
      <c r="D816" s="211">
        <v>192017335</v>
      </c>
      <c r="E816" s="211">
        <v>1060</v>
      </c>
      <c r="F816" s="211">
        <v>1274</v>
      </c>
      <c r="G816" s="211">
        <v>1004</v>
      </c>
      <c r="I816" s="211" t="s">
        <v>1869</v>
      </c>
      <c r="J816" s="212" t="s">
        <v>638</v>
      </c>
      <c r="K816" s="211" t="s">
        <v>524</v>
      </c>
      <c r="L816" s="211" t="s">
        <v>1905</v>
      </c>
      <c r="AD816" s="213"/>
    </row>
    <row r="817" spans="1:30" s="211" customFormat="1" x14ac:dyDescent="0.25">
      <c r="A817" s="211" t="s">
        <v>117</v>
      </c>
      <c r="B817" s="211">
        <v>886</v>
      </c>
      <c r="C817" s="211" t="s">
        <v>453</v>
      </c>
      <c r="D817" s="211">
        <v>192017342</v>
      </c>
      <c r="E817" s="211">
        <v>1060</v>
      </c>
      <c r="F817" s="211">
        <v>1252</v>
      </c>
      <c r="G817" s="211">
        <v>1004</v>
      </c>
      <c r="I817" s="211" t="s">
        <v>1870</v>
      </c>
      <c r="J817" s="212" t="s">
        <v>638</v>
      </c>
      <c r="K817" s="211" t="s">
        <v>524</v>
      </c>
      <c r="L817" s="211" t="s">
        <v>1906</v>
      </c>
      <c r="AD817" s="213"/>
    </row>
    <row r="818" spans="1:30" s="211" customFormat="1" x14ac:dyDescent="0.25">
      <c r="A818" s="211" t="s">
        <v>117</v>
      </c>
      <c r="B818" s="211">
        <v>886</v>
      </c>
      <c r="C818" s="211" t="s">
        <v>453</v>
      </c>
      <c r="D818" s="211">
        <v>192017344</v>
      </c>
      <c r="E818" s="211">
        <v>1060</v>
      </c>
      <c r="F818" s="211">
        <v>1274</v>
      </c>
      <c r="G818" s="211">
        <v>1004</v>
      </c>
      <c r="I818" s="211" t="s">
        <v>1871</v>
      </c>
      <c r="J818" s="212" t="s">
        <v>638</v>
      </c>
      <c r="K818" s="211" t="s">
        <v>524</v>
      </c>
      <c r="L818" s="211" t="s">
        <v>1907</v>
      </c>
      <c r="AD818" s="213"/>
    </row>
    <row r="819" spans="1:30" s="211" customFormat="1" x14ac:dyDescent="0.25">
      <c r="A819" s="211" t="s">
        <v>117</v>
      </c>
      <c r="B819" s="211">
        <v>886</v>
      </c>
      <c r="C819" s="211" t="s">
        <v>453</v>
      </c>
      <c r="D819" s="211">
        <v>192017349</v>
      </c>
      <c r="E819" s="211">
        <v>1060</v>
      </c>
      <c r="F819" s="211">
        <v>1274</v>
      </c>
      <c r="G819" s="211">
        <v>1004</v>
      </c>
      <c r="I819" s="211" t="s">
        <v>1872</v>
      </c>
      <c r="J819" s="212" t="s">
        <v>638</v>
      </c>
      <c r="K819" s="211" t="s">
        <v>524</v>
      </c>
      <c r="L819" s="211" t="s">
        <v>1908</v>
      </c>
      <c r="AD819" s="213"/>
    </row>
    <row r="820" spans="1:30" s="211" customFormat="1" x14ac:dyDescent="0.25">
      <c r="A820" s="211" t="s">
        <v>117</v>
      </c>
      <c r="B820" s="211">
        <v>886</v>
      </c>
      <c r="C820" s="211" t="s">
        <v>453</v>
      </c>
      <c r="D820" s="211">
        <v>192017350</v>
      </c>
      <c r="E820" s="211">
        <v>1060</v>
      </c>
      <c r="F820" s="211">
        <v>1274</v>
      </c>
      <c r="G820" s="211">
        <v>1004</v>
      </c>
      <c r="I820" s="211" t="s">
        <v>1873</v>
      </c>
      <c r="J820" s="212" t="s">
        <v>638</v>
      </c>
      <c r="K820" s="211" t="s">
        <v>524</v>
      </c>
      <c r="L820" s="211" t="s">
        <v>1909</v>
      </c>
      <c r="AD820" s="213"/>
    </row>
    <row r="821" spans="1:30" s="211" customFormat="1" x14ac:dyDescent="0.25">
      <c r="A821" s="211" t="s">
        <v>117</v>
      </c>
      <c r="B821" s="211">
        <v>886</v>
      </c>
      <c r="C821" s="211" t="s">
        <v>453</v>
      </c>
      <c r="D821" s="211">
        <v>192017356</v>
      </c>
      <c r="E821" s="211">
        <v>1060</v>
      </c>
      <c r="F821" s="211">
        <v>1242</v>
      </c>
      <c r="G821" s="211">
        <v>1004</v>
      </c>
      <c r="I821" s="211" t="s">
        <v>1874</v>
      </c>
      <c r="J821" s="212" t="s">
        <v>638</v>
      </c>
      <c r="K821" s="211" t="s">
        <v>524</v>
      </c>
      <c r="L821" s="211" t="s">
        <v>1910</v>
      </c>
      <c r="AD821" s="213"/>
    </row>
    <row r="822" spans="1:30" s="211" customFormat="1" x14ac:dyDescent="0.25">
      <c r="A822" s="211" t="s">
        <v>117</v>
      </c>
      <c r="B822" s="211">
        <v>886</v>
      </c>
      <c r="C822" s="211" t="s">
        <v>453</v>
      </c>
      <c r="D822" s="211">
        <v>192017359</v>
      </c>
      <c r="E822" s="211">
        <v>1060</v>
      </c>
      <c r="F822" s="211">
        <v>1274</v>
      </c>
      <c r="G822" s="211">
        <v>1004</v>
      </c>
      <c r="I822" s="211" t="s">
        <v>1875</v>
      </c>
      <c r="J822" s="212" t="s">
        <v>638</v>
      </c>
      <c r="K822" s="211" t="s">
        <v>524</v>
      </c>
      <c r="L822" s="211" t="s">
        <v>1911</v>
      </c>
      <c r="AD822" s="213"/>
    </row>
    <row r="823" spans="1:30" s="211" customFormat="1" x14ac:dyDescent="0.25">
      <c r="A823" s="211" t="s">
        <v>117</v>
      </c>
      <c r="B823" s="211">
        <v>886</v>
      </c>
      <c r="C823" s="211" t="s">
        <v>453</v>
      </c>
      <c r="D823" s="211">
        <v>192017361</v>
      </c>
      <c r="E823" s="211">
        <v>1060</v>
      </c>
      <c r="F823" s="211">
        <v>1252</v>
      </c>
      <c r="G823" s="211">
        <v>1004</v>
      </c>
      <c r="I823" s="211" t="s">
        <v>1876</v>
      </c>
      <c r="J823" s="212" t="s">
        <v>638</v>
      </c>
      <c r="K823" s="211" t="s">
        <v>524</v>
      </c>
      <c r="L823" s="211" t="s">
        <v>1912</v>
      </c>
      <c r="AD823" s="213"/>
    </row>
    <row r="824" spans="1:30" s="211" customFormat="1" x14ac:dyDescent="0.25">
      <c r="A824" s="211" t="s">
        <v>117</v>
      </c>
      <c r="B824" s="211">
        <v>886</v>
      </c>
      <c r="C824" s="211" t="s">
        <v>453</v>
      </c>
      <c r="D824" s="211">
        <v>192017365</v>
      </c>
      <c r="E824" s="211">
        <v>1060</v>
      </c>
      <c r="F824" s="211">
        <v>1274</v>
      </c>
      <c r="G824" s="211">
        <v>1004</v>
      </c>
      <c r="I824" s="211" t="s">
        <v>1877</v>
      </c>
      <c r="J824" s="212" t="s">
        <v>638</v>
      </c>
      <c r="K824" s="211" t="s">
        <v>524</v>
      </c>
      <c r="L824" s="211" t="s">
        <v>1913</v>
      </c>
      <c r="AD824" s="213"/>
    </row>
    <row r="825" spans="1:30" s="211" customFormat="1" x14ac:dyDescent="0.25">
      <c r="A825" s="211" t="s">
        <v>117</v>
      </c>
      <c r="B825" s="211">
        <v>886</v>
      </c>
      <c r="C825" s="211" t="s">
        <v>453</v>
      </c>
      <c r="D825" s="211">
        <v>192017696</v>
      </c>
      <c r="E825" s="211">
        <v>1060</v>
      </c>
      <c r="F825" s="211">
        <v>1252</v>
      </c>
      <c r="G825" s="211">
        <v>1004</v>
      </c>
      <c r="I825" s="211" t="s">
        <v>1939</v>
      </c>
      <c r="J825" s="212" t="s">
        <v>638</v>
      </c>
      <c r="K825" s="211" t="s">
        <v>524</v>
      </c>
      <c r="L825" s="211" t="s">
        <v>1971</v>
      </c>
      <c r="AD825" s="213"/>
    </row>
    <row r="826" spans="1:30" s="211" customFormat="1" x14ac:dyDescent="0.25">
      <c r="A826" s="211" t="s">
        <v>117</v>
      </c>
      <c r="B826" s="211">
        <v>886</v>
      </c>
      <c r="C826" s="211" t="s">
        <v>453</v>
      </c>
      <c r="D826" s="211">
        <v>192017707</v>
      </c>
      <c r="E826" s="211">
        <v>1060</v>
      </c>
      <c r="F826" s="211">
        <v>1252</v>
      </c>
      <c r="G826" s="211">
        <v>1004</v>
      </c>
      <c r="I826" s="211" t="s">
        <v>1940</v>
      </c>
      <c r="J826" s="212" t="s">
        <v>638</v>
      </c>
      <c r="K826" s="211" t="s">
        <v>639</v>
      </c>
      <c r="L826" s="211" t="s">
        <v>1983</v>
      </c>
      <c r="AD826" s="213"/>
    </row>
    <row r="827" spans="1:30" s="211" customFormat="1" x14ac:dyDescent="0.25">
      <c r="A827" s="211" t="s">
        <v>117</v>
      </c>
      <c r="B827" s="211">
        <v>886</v>
      </c>
      <c r="C827" s="211" t="s">
        <v>453</v>
      </c>
      <c r="D827" s="211">
        <v>192017716</v>
      </c>
      <c r="E827" s="211">
        <v>1060</v>
      </c>
      <c r="F827" s="211">
        <v>1274</v>
      </c>
      <c r="G827" s="211">
        <v>1004</v>
      </c>
      <c r="I827" s="211" t="s">
        <v>1941</v>
      </c>
      <c r="J827" s="212" t="s">
        <v>638</v>
      </c>
      <c r="K827" s="211" t="s">
        <v>524</v>
      </c>
      <c r="L827" s="211" t="s">
        <v>1972</v>
      </c>
      <c r="AD827" s="213"/>
    </row>
    <row r="828" spans="1:30" s="211" customFormat="1" x14ac:dyDescent="0.25">
      <c r="A828" s="211" t="s">
        <v>117</v>
      </c>
      <c r="B828" s="211">
        <v>886</v>
      </c>
      <c r="C828" s="211" t="s">
        <v>453</v>
      </c>
      <c r="D828" s="211">
        <v>192017717</v>
      </c>
      <c r="E828" s="211">
        <v>1060</v>
      </c>
      <c r="F828" s="211">
        <v>1274</v>
      </c>
      <c r="G828" s="211">
        <v>1004</v>
      </c>
      <c r="I828" s="211" t="s">
        <v>1942</v>
      </c>
      <c r="J828" s="212" t="s">
        <v>638</v>
      </c>
      <c r="K828" s="211" t="s">
        <v>524</v>
      </c>
      <c r="L828" s="211" t="s">
        <v>1973</v>
      </c>
      <c r="AD828" s="213"/>
    </row>
    <row r="829" spans="1:30" s="211" customFormat="1" x14ac:dyDescent="0.25">
      <c r="A829" s="211" t="s">
        <v>117</v>
      </c>
      <c r="B829" s="211">
        <v>886</v>
      </c>
      <c r="C829" s="211" t="s">
        <v>453</v>
      </c>
      <c r="D829" s="211">
        <v>192017739</v>
      </c>
      <c r="E829" s="211">
        <v>1060</v>
      </c>
      <c r="F829" s="211">
        <v>1271</v>
      </c>
      <c r="G829" s="211">
        <v>1004</v>
      </c>
      <c r="I829" s="211" t="s">
        <v>1943</v>
      </c>
      <c r="J829" s="212" t="s">
        <v>638</v>
      </c>
      <c r="K829" s="211" t="s">
        <v>524</v>
      </c>
      <c r="L829" s="211" t="s">
        <v>1974</v>
      </c>
      <c r="AD829" s="213"/>
    </row>
    <row r="830" spans="1:30" s="211" customFormat="1" x14ac:dyDescent="0.25">
      <c r="A830" s="211" t="s">
        <v>117</v>
      </c>
      <c r="B830" s="211">
        <v>886</v>
      </c>
      <c r="C830" s="211" t="s">
        <v>453</v>
      </c>
      <c r="D830" s="211">
        <v>192017741</v>
      </c>
      <c r="E830" s="211">
        <v>1060</v>
      </c>
      <c r="F830" s="211">
        <v>1242</v>
      </c>
      <c r="G830" s="211">
        <v>1004</v>
      </c>
      <c r="I830" s="211" t="s">
        <v>1944</v>
      </c>
      <c r="J830" s="212" t="s">
        <v>638</v>
      </c>
      <c r="K830" s="211" t="s">
        <v>524</v>
      </c>
      <c r="L830" s="211" t="s">
        <v>1975</v>
      </c>
      <c r="AD830" s="213"/>
    </row>
    <row r="831" spans="1:30" s="211" customFormat="1" x14ac:dyDescent="0.25">
      <c r="A831" s="211" t="s">
        <v>117</v>
      </c>
      <c r="B831" s="211">
        <v>886</v>
      </c>
      <c r="C831" s="211" t="s">
        <v>453</v>
      </c>
      <c r="D831" s="211">
        <v>192017746</v>
      </c>
      <c r="E831" s="211">
        <v>1060</v>
      </c>
      <c r="F831" s="211">
        <v>1252</v>
      </c>
      <c r="G831" s="211">
        <v>1004</v>
      </c>
      <c r="I831" s="211" t="s">
        <v>1945</v>
      </c>
      <c r="J831" s="212" t="s">
        <v>638</v>
      </c>
      <c r="K831" s="211" t="s">
        <v>524</v>
      </c>
      <c r="L831" s="211" t="s">
        <v>1976</v>
      </c>
      <c r="AD831" s="213"/>
    </row>
    <row r="832" spans="1:30" s="211" customFormat="1" x14ac:dyDescent="0.25">
      <c r="A832" s="211" t="s">
        <v>117</v>
      </c>
      <c r="B832" s="211">
        <v>886</v>
      </c>
      <c r="C832" s="211" t="s">
        <v>453</v>
      </c>
      <c r="D832" s="211">
        <v>192017747</v>
      </c>
      <c r="E832" s="211">
        <v>1060</v>
      </c>
      <c r="F832" s="211">
        <v>1252</v>
      </c>
      <c r="G832" s="211">
        <v>1004</v>
      </c>
      <c r="I832" s="211" t="s">
        <v>1946</v>
      </c>
      <c r="J832" s="212" t="s">
        <v>638</v>
      </c>
      <c r="K832" s="211" t="s">
        <v>524</v>
      </c>
      <c r="L832" s="211" t="s">
        <v>1977</v>
      </c>
      <c r="AD832" s="213"/>
    </row>
    <row r="833" spans="1:30" s="211" customFormat="1" x14ac:dyDescent="0.25">
      <c r="A833" s="211" t="s">
        <v>117</v>
      </c>
      <c r="B833" s="211">
        <v>886</v>
      </c>
      <c r="C833" s="211" t="s">
        <v>453</v>
      </c>
      <c r="D833" s="211">
        <v>192017750</v>
      </c>
      <c r="E833" s="211">
        <v>1060</v>
      </c>
      <c r="F833" s="211">
        <v>1252</v>
      </c>
      <c r="G833" s="211">
        <v>1004</v>
      </c>
      <c r="I833" s="211" t="s">
        <v>1947</v>
      </c>
      <c r="J833" s="212" t="s">
        <v>638</v>
      </c>
      <c r="K833" s="211" t="s">
        <v>524</v>
      </c>
      <c r="L833" s="211" t="s">
        <v>1978</v>
      </c>
      <c r="AD833" s="213"/>
    </row>
    <row r="834" spans="1:30" s="211" customFormat="1" x14ac:dyDescent="0.25">
      <c r="A834" s="211" t="s">
        <v>117</v>
      </c>
      <c r="B834" s="211">
        <v>886</v>
      </c>
      <c r="C834" s="211" t="s">
        <v>453</v>
      </c>
      <c r="D834" s="211">
        <v>192017998</v>
      </c>
      <c r="E834" s="211">
        <v>1060</v>
      </c>
      <c r="F834" s="211">
        <v>1274</v>
      </c>
      <c r="G834" s="211">
        <v>1004</v>
      </c>
      <c r="I834" s="211" t="s">
        <v>1948</v>
      </c>
      <c r="J834" s="212" t="s">
        <v>638</v>
      </c>
      <c r="K834" s="211" t="s">
        <v>524</v>
      </c>
      <c r="L834" s="211" t="s">
        <v>1979</v>
      </c>
      <c r="AD834" s="213"/>
    </row>
    <row r="835" spans="1:30" s="211" customFormat="1" x14ac:dyDescent="0.25">
      <c r="A835" s="211" t="s">
        <v>117</v>
      </c>
      <c r="B835" s="211">
        <v>886</v>
      </c>
      <c r="C835" s="211" t="s">
        <v>453</v>
      </c>
      <c r="D835" s="211">
        <v>192017999</v>
      </c>
      <c r="E835" s="211">
        <v>1060</v>
      </c>
      <c r="F835" s="211">
        <v>1252</v>
      </c>
      <c r="G835" s="211">
        <v>1004</v>
      </c>
      <c r="I835" s="211" t="s">
        <v>1949</v>
      </c>
      <c r="J835" s="212" t="s">
        <v>638</v>
      </c>
      <c r="K835" s="211" t="s">
        <v>524</v>
      </c>
      <c r="L835" s="211" t="s">
        <v>1980</v>
      </c>
      <c r="AD835" s="213"/>
    </row>
    <row r="836" spans="1:30" s="211" customFormat="1" x14ac:dyDescent="0.25">
      <c r="A836" s="211" t="s">
        <v>117</v>
      </c>
      <c r="B836" s="211">
        <v>886</v>
      </c>
      <c r="C836" s="211" t="s">
        <v>453</v>
      </c>
      <c r="D836" s="211">
        <v>192018003</v>
      </c>
      <c r="E836" s="211">
        <v>1060</v>
      </c>
      <c r="F836" s="211">
        <v>1252</v>
      </c>
      <c r="G836" s="211">
        <v>1004</v>
      </c>
      <c r="I836" s="211" t="s">
        <v>1950</v>
      </c>
      <c r="J836" s="212" t="s">
        <v>638</v>
      </c>
      <c r="K836" s="211" t="s">
        <v>524</v>
      </c>
      <c r="L836" s="211" t="s">
        <v>1981</v>
      </c>
      <c r="AD836" s="213"/>
    </row>
    <row r="837" spans="1:30" s="211" customFormat="1" x14ac:dyDescent="0.25">
      <c r="A837" s="211" t="s">
        <v>117</v>
      </c>
      <c r="B837" s="211">
        <v>886</v>
      </c>
      <c r="C837" s="211" t="s">
        <v>453</v>
      </c>
      <c r="D837" s="211">
        <v>192018005</v>
      </c>
      <c r="E837" s="211">
        <v>1060</v>
      </c>
      <c r="F837" s="211">
        <v>1274</v>
      </c>
      <c r="G837" s="211">
        <v>1004</v>
      </c>
      <c r="I837" s="211" t="s">
        <v>1951</v>
      </c>
      <c r="J837" s="212" t="s">
        <v>638</v>
      </c>
      <c r="K837" s="211" t="s">
        <v>524</v>
      </c>
      <c r="L837" s="211" t="s">
        <v>1982</v>
      </c>
      <c r="AD837" s="213"/>
    </row>
    <row r="838" spans="1:30" s="211" customFormat="1" x14ac:dyDescent="0.25">
      <c r="A838" s="211" t="s">
        <v>117</v>
      </c>
      <c r="B838" s="211">
        <v>886</v>
      </c>
      <c r="C838" s="211" t="s">
        <v>453</v>
      </c>
      <c r="D838" s="211">
        <v>192018161</v>
      </c>
      <c r="E838" s="211">
        <v>1060</v>
      </c>
      <c r="F838" s="211">
        <v>1274</v>
      </c>
      <c r="G838" s="211">
        <v>1004</v>
      </c>
      <c r="I838" s="211" t="s">
        <v>2006</v>
      </c>
      <c r="J838" s="212" t="s">
        <v>638</v>
      </c>
      <c r="K838" s="211" t="s">
        <v>524</v>
      </c>
      <c r="L838" s="211" t="s">
        <v>2036</v>
      </c>
      <c r="AD838" s="213"/>
    </row>
    <row r="839" spans="1:30" s="211" customFormat="1" x14ac:dyDescent="0.25">
      <c r="A839" s="211" t="s">
        <v>117</v>
      </c>
      <c r="B839" s="211">
        <v>886</v>
      </c>
      <c r="C839" s="211" t="s">
        <v>453</v>
      </c>
      <c r="D839" s="211">
        <v>192018171</v>
      </c>
      <c r="E839" s="211">
        <v>1060</v>
      </c>
      <c r="F839" s="211">
        <v>1274</v>
      </c>
      <c r="G839" s="211">
        <v>1004</v>
      </c>
      <c r="I839" s="211" t="s">
        <v>2007</v>
      </c>
      <c r="J839" s="212" t="s">
        <v>638</v>
      </c>
      <c r="K839" s="211" t="s">
        <v>524</v>
      </c>
      <c r="L839" s="211" t="s">
        <v>2037</v>
      </c>
      <c r="AD839" s="213"/>
    </row>
    <row r="840" spans="1:30" s="211" customFormat="1" x14ac:dyDescent="0.25">
      <c r="A840" s="211" t="s">
        <v>117</v>
      </c>
      <c r="B840" s="211">
        <v>886</v>
      </c>
      <c r="C840" s="211" t="s">
        <v>453</v>
      </c>
      <c r="D840" s="211">
        <v>192018172</v>
      </c>
      <c r="E840" s="211">
        <v>1060</v>
      </c>
      <c r="F840" s="211">
        <v>1252</v>
      </c>
      <c r="G840" s="211">
        <v>1004</v>
      </c>
      <c r="I840" s="211" t="s">
        <v>2008</v>
      </c>
      <c r="J840" s="212" t="s">
        <v>638</v>
      </c>
      <c r="K840" s="211" t="s">
        <v>524</v>
      </c>
      <c r="L840" s="211" t="s">
        <v>2038</v>
      </c>
      <c r="AD840" s="213"/>
    </row>
    <row r="841" spans="1:30" s="211" customFormat="1" x14ac:dyDescent="0.25">
      <c r="A841" s="211" t="s">
        <v>117</v>
      </c>
      <c r="B841" s="211">
        <v>886</v>
      </c>
      <c r="C841" s="211" t="s">
        <v>453</v>
      </c>
      <c r="D841" s="211">
        <v>192018179</v>
      </c>
      <c r="E841" s="211">
        <v>1060</v>
      </c>
      <c r="F841" s="211">
        <v>1252</v>
      </c>
      <c r="G841" s="211">
        <v>1004</v>
      </c>
      <c r="I841" s="211" t="s">
        <v>2009</v>
      </c>
      <c r="J841" s="212" t="s">
        <v>638</v>
      </c>
      <c r="K841" s="211" t="s">
        <v>524</v>
      </c>
      <c r="L841" s="211" t="s">
        <v>2039</v>
      </c>
      <c r="AD841" s="213"/>
    </row>
    <row r="842" spans="1:30" s="211" customFormat="1" x14ac:dyDescent="0.25">
      <c r="A842" s="211" t="s">
        <v>117</v>
      </c>
      <c r="B842" s="211">
        <v>886</v>
      </c>
      <c r="C842" s="211" t="s">
        <v>453</v>
      </c>
      <c r="D842" s="211">
        <v>192018186</v>
      </c>
      <c r="E842" s="211">
        <v>1060</v>
      </c>
      <c r="F842" s="211">
        <v>1274</v>
      </c>
      <c r="G842" s="211">
        <v>1004</v>
      </c>
      <c r="I842" s="211" t="s">
        <v>2010</v>
      </c>
      <c r="J842" s="212" t="s">
        <v>638</v>
      </c>
      <c r="K842" s="211" t="s">
        <v>639</v>
      </c>
      <c r="L842" s="211" t="s">
        <v>2045</v>
      </c>
      <c r="AD842" s="213"/>
    </row>
    <row r="843" spans="1:30" s="211" customFormat="1" x14ac:dyDescent="0.25">
      <c r="A843" s="211" t="s">
        <v>117</v>
      </c>
      <c r="B843" s="211">
        <v>886</v>
      </c>
      <c r="C843" s="211" t="s">
        <v>453</v>
      </c>
      <c r="D843" s="211">
        <v>192018190</v>
      </c>
      <c r="E843" s="211">
        <v>1060</v>
      </c>
      <c r="F843" s="211">
        <v>1274</v>
      </c>
      <c r="G843" s="211">
        <v>1004</v>
      </c>
      <c r="I843" s="211" t="s">
        <v>2011</v>
      </c>
      <c r="J843" s="212" t="s">
        <v>638</v>
      </c>
      <c r="K843" s="211" t="s">
        <v>524</v>
      </c>
      <c r="L843" s="211" t="s">
        <v>2040</v>
      </c>
      <c r="AD843" s="213"/>
    </row>
    <row r="844" spans="1:30" s="211" customFormat="1" x14ac:dyDescent="0.25">
      <c r="A844" s="211" t="s">
        <v>117</v>
      </c>
      <c r="B844" s="211">
        <v>886</v>
      </c>
      <c r="C844" s="211" t="s">
        <v>453</v>
      </c>
      <c r="D844" s="211">
        <v>192018192</v>
      </c>
      <c r="E844" s="211">
        <v>1060</v>
      </c>
      <c r="F844" s="211">
        <v>1242</v>
      </c>
      <c r="G844" s="211">
        <v>1004</v>
      </c>
      <c r="I844" s="211" t="s">
        <v>2012</v>
      </c>
      <c r="J844" s="212" t="s">
        <v>638</v>
      </c>
      <c r="K844" s="211" t="s">
        <v>524</v>
      </c>
      <c r="L844" s="211" t="s">
        <v>2041</v>
      </c>
      <c r="AD844" s="213"/>
    </row>
    <row r="845" spans="1:30" s="211" customFormat="1" x14ac:dyDescent="0.25">
      <c r="A845" s="211" t="s">
        <v>117</v>
      </c>
      <c r="B845" s="211">
        <v>886</v>
      </c>
      <c r="C845" s="211" t="s">
        <v>453</v>
      </c>
      <c r="D845" s="211">
        <v>192018193</v>
      </c>
      <c r="E845" s="211">
        <v>1060</v>
      </c>
      <c r="F845" s="211">
        <v>1274</v>
      </c>
      <c r="G845" s="211">
        <v>1004</v>
      </c>
      <c r="I845" s="211" t="s">
        <v>2013</v>
      </c>
      <c r="J845" s="212" t="s">
        <v>638</v>
      </c>
      <c r="K845" s="211" t="s">
        <v>524</v>
      </c>
      <c r="L845" s="211" t="s">
        <v>2042</v>
      </c>
      <c r="AD845" s="213"/>
    </row>
    <row r="846" spans="1:30" s="211" customFormat="1" x14ac:dyDescent="0.25">
      <c r="A846" s="211" t="s">
        <v>117</v>
      </c>
      <c r="B846" s="211">
        <v>886</v>
      </c>
      <c r="C846" s="211" t="s">
        <v>453</v>
      </c>
      <c r="D846" s="211">
        <v>192018195</v>
      </c>
      <c r="E846" s="211">
        <v>1060</v>
      </c>
      <c r="F846" s="211">
        <v>1274</v>
      </c>
      <c r="G846" s="211">
        <v>1004</v>
      </c>
      <c r="I846" s="211" t="s">
        <v>2014</v>
      </c>
      <c r="J846" s="212" t="s">
        <v>638</v>
      </c>
      <c r="K846" s="211" t="s">
        <v>524</v>
      </c>
      <c r="L846" s="211" t="s">
        <v>2043</v>
      </c>
      <c r="AD846" s="213"/>
    </row>
    <row r="847" spans="1:30" s="211" customFormat="1" x14ac:dyDescent="0.25">
      <c r="A847" s="211" t="s">
        <v>117</v>
      </c>
      <c r="B847" s="211">
        <v>886</v>
      </c>
      <c r="C847" s="211" t="s">
        <v>453</v>
      </c>
      <c r="D847" s="211">
        <v>192018817</v>
      </c>
      <c r="E847" s="211">
        <v>1080</v>
      </c>
      <c r="F847" s="211">
        <v>1274</v>
      </c>
      <c r="G847" s="211">
        <v>1004</v>
      </c>
      <c r="I847" s="211" t="s">
        <v>2049</v>
      </c>
      <c r="J847" s="212" t="s">
        <v>638</v>
      </c>
      <c r="K847" s="211" t="s">
        <v>639</v>
      </c>
      <c r="L847" s="211" t="s">
        <v>2067</v>
      </c>
      <c r="AD847" s="213"/>
    </row>
    <row r="848" spans="1:30" s="211" customFormat="1" x14ac:dyDescent="0.25">
      <c r="A848" s="211" t="s">
        <v>117</v>
      </c>
      <c r="B848" s="211">
        <v>886</v>
      </c>
      <c r="C848" s="211" t="s">
        <v>453</v>
      </c>
      <c r="D848" s="211">
        <v>192018823</v>
      </c>
      <c r="E848" s="211">
        <v>1060</v>
      </c>
      <c r="F848" s="211">
        <v>1274</v>
      </c>
      <c r="G848" s="211">
        <v>1004</v>
      </c>
      <c r="I848" s="211" t="s">
        <v>2050</v>
      </c>
      <c r="J848" s="212" t="s">
        <v>638</v>
      </c>
      <c r="K848" s="211" t="s">
        <v>524</v>
      </c>
      <c r="L848" s="211" t="s">
        <v>2059</v>
      </c>
      <c r="AD848" s="213"/>
    </row>
    <row r="849" spans="1:30" s="211" customFormat="1" x14ac:dyDescent="0.25">
      <c r="A849" s="211" t="s">
        <v>117</v>
      </c>
      <c r="B849" s="211">
        <v>886</v>
      </c>
      <c r="C849" s="211" t="s">
        <v>453</v>
      </c>
      <c r="D849" s="211">
        <v>192018824</v>
      </c>
      <c r="E849" s="211">
        <v>1060</v>
      </c>
      <c r="F849" s="211">
        <v>1252</v>
      </c>
      <c r="G849" s="211">
        <v>1004</v>
      </c>
      <c r="I849" s="211" t="s">
        <v>2051</v>
      </c>
      <c r="J849" s="212" t="s">
        <v>638</v>
      </c>
      <c r="K849" s="211" t="s">
        <v>639</v>
      </c>
      <c r="L849" s="211" t="s">
        <v>2068</v>
      </c>
      <c r="AD849" s="213"/>
    </row>
    <row r="850" spans="1:30" s="211" customFormat="1" x14ac:dyDescent="0.25">
      <c r="A850" s="211" t="s">
        <v>117</v>
      </c>
      <c r="B850" s="211">
        <v>886</v>
      </c>
      <c r="C850" s="211" t="s">
        <v>453</v>
      </c>
      <c r="D850" s="211">
        <v>192018825</v>
      </c>
      <c r="E850" s="211">
        <v>1080</v>
      </c>
      <c r="F850" s="211">
        <v>1252</v>
      </c>
      <c r="G850" s="211">
        <v>1004</v>
      </c>
      <c r="I850" s="211" t="s">
        <v>2051</v>
      </c>
      <c r="J850" s="212" t="s">
        <v>638</v>
      </c>
      <c r="K850" s="211" t="s">
        <v>639</v>
      </c>
      <c r="L850" s="211" t="s">
        <v>2068</v>
      </c>
      <c r="AD850" s="213"/>
    </row>
    <row r="851" spans="1:30" s="211" customFormat="1" x14ac:dyDescent="0.25">
      <c r="A851" s="211" t="s">
        <v>117</v>
      </c>
      <c r="B851" s="211">
        <v>886</v>
      </c>
      <c r="C851" s="211" t="s">
        <v>453</v>
      </c>
      <c r="D851" s="211">
        <v>192018852</v>
      </c>
      <c r="E851" s="211">
        <v>1060</v>
      </c>
      <c r="F851" s="211">
        <v>1274</v>
      </c>
      <c r="G851" s="211">
        <v>1004</v>
      </c>
      <c r="I851" s="211" t="s">
        <v>2052</v>
      </c>
      <c r="J851" s="212" t="s">
        <v>638</v>
      </c>
      <c r="K851" s="211" t="s">
        <v>524</v>
      </c>
      <c r="L851" s="211" t="s">
        <v>2060</v>
      </c>
      <c r="AD851" s="213"/>
    </row>
    <row r="852" spans="1:30" s="211" customFormat="1" x14ac:dyDescent="0.25">
      <c r="A852" s="211" t="s">
        <v>117</v>
      </c>
      <c r="B852" s="211">
        <v>886</v>
      </c>
      <c r="C852" s="211" t="s">
        <v>453</v>
      </c>
      <c r="D852" s="211">
        <v>192018861</v>
      </c>
      <c r="E852" s="211">
        <v>1060</v>
      </c>
      <c r="F852" s="211">
        <v>1271</v>
      </c>
      <c r="G852" s="211">
        <v>1004</v>
      </c>
      <c r="I852" s="211" t="s">
        <v>2053</v>
      </c>
      <c r="J852" s="212" t="s">
        <v>638</v>
      </c>
      <c r="K852" s="211" t="s">
        <v>524</v>
      </c>
      <c r="L852" s="211" t="s">
        <v>2061</v>
      </c>
      <c r="AD852" s="213"/>
    </row>
    <row r="853" spans="1:30" s="211" customFormat="1" x14ac:dyDescent="0.25">
      <c r="A853" s="211" t="s">
        <v>117</v>
      </c>
      <c r="B853" s="211">
        <v>886</v>
      </c>
      <c r="C853" s="211" t="s">
        <v>453</v>
      </c>
      <c r="D853" s="211">
        <v>192018870</v>
      </c>
      <c r="E853" s="211">
        <v>1060</v>
      </c>
      <c r="F853" s="211">
        <v>1274</v>
      </c>
      <c r="G853" s="211">
        <v>1004</v>
      </c>
      <c r="I853" s="211" t="s">
        <v>2054</v>
      </c>
      <c r="J853" s="212" t="s">
        <v>638</v>
      </c>
      <c r="K853" s="211" t="s">
        <v>524</v>
      </c>
      <c r="L853" s="211" t="s">
        <v>2062</v>
      </c>
      <c r="AD853" s="213"/>
    </row>
    <row r="854" spans="1:30" s="211" customFormat="1" x14ac:dyDescent="0.25">
      <c r="A854" s="211" t="s">
        <v>117</v>
      </c>
      <c r="B854" s="211">
        <v>886</v>
      </c>
      <c r="C854" s="211" t="s">
        <v>453</v>
      </c>
      <c r="D854" s="211">
        <v>192042260</v>
      </c>
      <c r="E854" s="211">
        <v>1020</v>
      </c>
      <c r="F854" s="211">
        <v>1110</v>
      </c>
      <c r="G854" s="211">
        <v>1004</v>
      </c>
      <c r="I854" s="211" t="s">
        <v>2794</v>
      </c>
      <c r="J854" s="212" t="s">
        <v>638</v>
      </c>
      <c r="K854" s="211" t="s">
        <v>524</v>
      </c>
      <c r="L854" s="211" t="s">
        <v>2827</v>
      </c>
      <c r="AD854" s="213"/>
    </row>
    <row r="855" spans="1:30" s="211" customFormat="1" x14ac:dyDescent="0.25">
      <c r="A855" s="211" t="s">
        <v>117</v>
      </c>
      <c r="B855" s="211">
        <v>886</v>
      </c>
      <c r="C855" s="211" t="s">
        <v>453</v>
      </c>
      <c r="D855" s="211">
        <v>192042261</v>
      </c>
      <c r="E855" s="211">
        <v>1020</v>
      </c>
      <c r="F855" s="211">
        <v>1110</v>
      </c>
      <c r="G855" s="211">
        <v>1004</v>
      </c>
      <c r="I855" s="211" t="s">
        <v>2794</v>
      </c>
      <c r="J855" s="212" t="s">
        <v>638</v>
      </c>
      <c r="K855" s="211" t="s">
        <v>524</v>
      </c>
      <c r="L855" s="211" t="s">
        <v>2828</v>
      </c>
      <c r="AD855" s="213"/>
    </row>
    <row r="856" spans="1:30" s="211" customFormat="1" x14ac:dyDescent="0.25">
      <c r="A856" s="211" t="s">
        <v>117</v>
      </c>
      <c r="B856" s="211">
        <v>886</v>
      </c>
      <c r="C856" s="211" t="s">
        <v>453</v>
      </c>
      <c r="D856" s="211">
        <v>192042262</v>
      </c>
      <c r="E856" s="211">
        <v>1020</v>
      </c>
      <c r="F856" s="211">
        <v>1110</v>
      </c>
      <c r="G856" s="211">
        <v>1004</v>
      </c>
      <c r="I856" s="211" t="s">
        <v>2794</v>
      </c>
      <c r="J856" s="212" t="s">
        <v>638</v>
      </c>
      <c r="K856" s="211" t="s">
        <v>524</v>
      </c>
      <c r="L856" s="211" t="s">
        <v>2829</v>
      </c>
      <c r="AD856" s="213"/>
    </row>
    <row r="857" spans="1:30" s="211" customFormat="1" x14ac:dyDescent="0.25">
      <c r="A857" s="211" t="s">
        <v>117</v>
      </c>
      <c r="B857" s="211">
        <v>886</v>
      </c>
      <c r="C857" s="211" t="s">
        <v>453</v>
      </c>
      <c r="D857" s="211">
        <v>192042263</v>
      </c>
      <c r="E857" s="211">
        <v>1020</v>
      </c>
      <c r="F857" s="211">
        <v>1110</v>
      </c>
      <c r="G857" s="211">
        <v>1004</v>
      </c>
      <c r="I857" s="211" t="s">
        <v>2794</v>
      </c>
      <c r="J857" s="212" t="s">
        <v>638</v>
      </c>
      <c r="K857" s="211" t="s">
        <v>524</v>
      </c>
      <c r="L857" s="211" t="s">
        <v>2830</v>
      </c>
      <c r="AD857" s="213"/>
    </row>
    <row r="858" spans="1:30" s="211" customFormat="1" x14ac:dyDescent="0.25">
      <c r="A858" s="211" t="s">
        <v>117</v>
      </c>
      <c r="B858" s="211">
        <v>886</v>
      </c>
      <c r="C858" s="211" t="s">
        <v>453</v>
      </c>
      <c r="D858" s="211">
        <v>192042264</v>
      </c>
      <c r="E858" s="211">
        <v>1020</v>
      </c>
      <c r="F858" s="211">
        <v>1110</v>
      </c>
      <c r="G858" s="211">
        <v>1004</v>
      </c>
      <c r="I858" s="211" t="s">
        <v>2794</v>
      </c>
      <c r="J858" s="212" t="s">
        <v>638</v>
      </c>
      <c r="K858" s="211" t="s">
        <v>524</v>
      </c>
      <c r="L858" s="211" t="s">
        <v>2831</v>
      </c>
      <c r="AD858" s="213"/>
    </row>
    <row r="859" spans="1:30" s="211" customFormat="1" x14ac:dyDescent="0.25">
      <c r="A859" s="211" t="s">
        <v>117</v>
      </c>
      <c r="B859" s="211">
        <v>886</v>
      </c>
      <c r="C859" s="211" t="s">
        <v>453</v>
      </c>
      <c r="D859" s="211">
        <v>192042265</v>
      </c>
      <c r="E859" s="211">
        <v>1020</v>
      </c>
      <c r="F859" s="211">
        <v>1110</v>
      </c>
      <c r="G859" s="211">
        <v>1004</v>
      </c>
      <c r="I859" s="211" t="s">
        <v>2794</v>
      </c>
      <c r="J859" s="212" t="s">
        <v>638</v>
      </c>
      <c r="K859" s="211" t="s">
        <v>524</v>
      </c>
      <c r="L859" s="211" t="s">
        <v>2832</v>
      </c>
      <c r="AD859" s="213"/>
    </row>
    <row r="860" spans="1:30" s="211" customFormat="1" x14ac:dyDescent="0.25">
      <c r="A860" s="211" t="s">
        <v>117</v>
      </c>
      <c r="B860" s="211">
        <v>886</v>
      </c>
      <c r="C860" s="211" t="s">
        <v>453</v>
      </c>
      <c r="D860" s="211">
        <v>192042266</v>
      </c>
      <c r="E860" s="211">
        <v>1020</v>
      </c>
      <c r="F860" s="211">
        <v>1110</v>
      </c>
      <c r="G860" s="211">
        <v>1004</v>
      </c>
      <c r="I860" s="211" t="s">
        <v>2794</v>
      </c>
      <c r="J860" s="212" t="s">
        <v>638</v>
      </c>
      <c r="K860" s="211" t="s">
        <v>524</v>
      </c>
      <c r="L860" s="211" t="s">
        <v>2833</v>
      </c>
      <c r="AD860" s="213"/>
    </row>
    <row r="861" spans="1:30" s="211" customFormat="1" x14ac:dyDescent="0.25">
      <c r="A861" s="211" t="s">
        <v>117</v>
      </c>
      <c r="B861" s="211">
        <v>886</v>
      </c>
      <c r="C861" s="211" t="s">
        <v>453</v>
      </c>
      <c r="D861" s="211">
        <v>192042267</v>
      </c>
      <c r="E861" s="211">
        <v>1060</v>
      </c>
      <c r="F861" s="211">
        <v>1242</v>
      </c>
      <c r="G861" s="211">
        <v>1004</v>
      </c>
      <c r="I861" s="211" t="s">
        <v>2794</v>
      </c>
      <c r="J861" s="212" t="s">
        <v>638</v>
      </c>
      <c r="K861" s="211" t="s">
        <v>524</v>
      </c>
      <c r="L861" s="211" t="s">
        <v>2834</v>
      </c>
      <c r="AD861" s="213"/>
    </row>
    <row r="862" spans="1:30" s="211" customFormat="1" x14ac:dyDescent="0.25">
      <c r="A862" s="211" t="s">
        <v>117</v>
      </c>
      <c r="B862" s="211">
        <v>886</v>
      </c>
      <c r="C862" s="211" t="s">
        <v>453</v>
      </c>
      <c r="D862" s="211">
        <v>192051953</v>
      </c>
      <c r="E862" s="211">
        <v>1060</v>
      </c>
      <c r="F862" s="211">
        <v>1242</v>
      </c>
      <c r="G862" s="211">
        <v>1004</v>
      </c>
      <c r="I862" s="211" t="s">
        <v>3788</v>
      </c>
      <c r="J862" s="212" t="s">
        <v>638</v>
      </c>
      <c r="K862" s="211" t="s">
        <v>524</v>
      </c>
      <c r="L862" s="211" t="s">
        <v>3831</v>
      </c>
      <c r="AD862" s="213"/>
    </row>
    <row r="863" spans="1:30" s="211" customFormat="1" x14ac:dyDescent="0.25">
      <c r="A863" s="211" t="s">
        <v>117</v>
      </c>
      <c r="B863" s="211">
        <v>889</v>
      </c>
      <c r="C863" s="211" t="s">
        <v>455</v>
      </c>
      <c r="D863" s="211">
        <v>1412995</v>
      </c>
      <c r="E863" s="211">
        <v>1030</v>
      </c>
      <c r="F863" s="211">
        <v>1110</v>
      </c>
      <c r="G863" s="211">
        <v>1004</v>
      </c>
      <c r="I863" s="211" t="s">
        <v>2133</v>
      </c>
      <c r="J863" s="212" t="s">
        <v>638</v>
      </c>
      <c r="K863" s="211" t="s">
        <v>524</v>
      </c>
      <c r="L863" s="211" t="s">
        <v>2143</v>
      </c>
      <c r="AD863" s="213"/>
    </row>
    <row r="864" spans="1:30" s="211" customFormat="1" x14ac:dyDescent="0.25">
      <c r="A864" s="211" t="s">
        <v>117</v>
      </c>
      <c r="B864" s="211">
        <v>889</v>
      </c>
      <c r="C864" s="211" t="s">
        <v>455</v>
      </c>
      <c r="D864" s="211">
        <v>1412996</v>
      </c>
      <c r="E864" s="211">
        <v>1020</v>
      </c>
      <c r="F864" s="211">
        <v>1121</v>
      </c>
      <c r="G864" s="211">
        <v>1004</v>
      </c>
      <c r="I864" s="211" t="s">
        <v>2134</v>
      </c>
      <c r="J864" s="212" t="s">
        <v>638</v>
      </c>
      <c r="K864" s="211" t="s">
        <v>524</v>
      </c>
      <c r="L864" s="211" t="s">
        <v>2144</v>
      </c>
      <c r="AD864" s="213"/>
    </row>
    <row r="865" spans="1:30" s="211" customFormat="1" x14ac:dyDescent="0.25">
      <c r="A865" s="211" t="s">
        <v>117</v>
      </c>
      <c r="B865" s="211">
        <v>889</v>
      </c>
      <c r="C865" s="211" t="s">
        <v>455</v>
      </c>
      <c r="D865" s="211">
        <v>190649911</v>
      </c>
      <c r="E865" s="211">
        <v>1060</v>
      </c>
      <c r="F865" s="211">
        <v>1271</v>
      </c>
      <c r="G865" s="211">
        <v>1004</v>
      </c>
      <c r="I865" s="211" t="s">
        <v>1504</v>
      </c>
      <c r="J865" s="212" t="s">
        <v>638</v>
      </c>
      <c r="K865" s="211" t="s">
        <v>524</v>
      </c>
      <c r="L865" s="211" t="s">
        <v>1514</v>
      </c>
      <c r="AD865" s="213"/>
    </row>
    <row r="866" spans="1:30" s="211" customFormat="1" x14ac:dyDescent="0.25">
      <c r="A866" s="211" t="s">
        <v>117</v>
      </c>
      <c r="B866" s="211">
        <v>889</v>
      </c>
      <c r="C866" s="211" t="s">
        <v>455</v>
      </c>
      <c r="D866" s="211">
        <v>191890633</v>
      </c>
      <c r="E866" s="211">
        <v>1060</v>
      </c>
      <c r="F866" s="211">
        <v>1271</v>
      </c>
      <c r="G866" s="211">
        <v>1003</v>
      </c>
      <c r="I866" s="211" t="s">
        <v>1605</v>
      </c>
      <c r="J866" s="212" t="s">
        <v>638</v>
      </c>
      <c r="K866" s="211" t="s">
        <v>524</v>
      </c>
      <c r="L866" s="211" t="s">
        <v>1613</v>
      </c>
      <c r="AD866" s="213"/>
    </row>
    <row r="867" spans="1:30" s="211" customFormat="1" x14ac:dyDescent="0.25">
      <c r="A867" s="211" t="s">
        <v>117</v>
      </c>
      <c r="B867" s="211">
        <v>889</v>
      </c>
      <c r="C867" s="211" t="s">
        <v>455</v>
      </c>
      <c r="D867" s="211">
        <v>191984472</v>
      </c>
      <c r="E867" s="211">
        <v>1020</v>
      </c>
      <c r="F867" s="211">
        <v>1110</v>
      </c>
      <c r="G867" s="211">
        <v>1004</v>
      </c>
      <c r="I867" s="211" t="s">
        <v>1505</v>
      </c>
      <c r="J867" s="212" t="s">
        <v>638</v>
      </c>
      <c r="K867" s="211" t="s">
        <v>639</v>
      </c>
      <c r="L867" s="211" t="s">
        <v>1516</v>
      </c>
      <c r="AD867" s="213"/>
    </row>
    <row r="868" spans="1:30" s="211" customFormat="1" x14ac:dyDescent="0.25">
      <c r="A868" s="211" t="s">
        <v>117</v>
      </c>
      <c r="B868" s="211">
        <v>889</v>
      </c>
      <c r="C868" s="211" t="s">
        <v>455</v>
      </c>
      <c r="D868" s="211">
        <v>192043850</v>
      </c>
      <c r="E868" s="211">
        <v>1060</v>
      </c>
      <c r="F868" s="211">
        <v>1271</v>
      </c>
      <c r="G868" s="211">
        <v>1004</v>
      </c>
      <c r="I868" s="211" t="s">
        <v>2930</v>
      </c>
      <c r="J868" s="212" t="s">
        <v>638</v>
      </c>
      <c r="K868" s="211" t="s">
        <v>524</v>
      </c>
      <c r="L868" s="211" t="s">
        <v>2937</v>
      </c>
      <c r="AD868" s="213"/>
    </row>
    <row r="869" spans="1:30" s="211" customFormat="1" x14ac:dyDescent="0.25">
      <c r="A869" s="211" t="s">
        <v>117</v>
      </c>
      <c r="B869" s="211">
        <v>889</v>
      </c>
      <c r="C869" s="211" t="s">
        <v>455</v>
      </c>
      <c r="D869" s="211">
        <v>504055815</v>
      </c>
      <c r="E869" s="211">
        <v>1060</v>
      </c>
      <c r="F869" s="211">
        <v>1271</v>
      </c>
      <c r="G869" s="211">
        <v>1004</v>
      </c>
      <c r="I869" s="211" t="s">
        <v>2756</v>
      </c>
      <c r="J869" s="212" t="s">
        <v>638</v>
      </c>
      <c r="K869" s="211" t="s">
        <v>524</v>
      </c>
      <c r="L869" s="211" t="s">
        <v>2780</v>
      </c>
      <c r="AD869" s="213"/>
    </row>
    <row r="870" spans="1:30" s="211" customFormat="1" x14ac:dyDescent="0.25">
      <c r="A870" s="211" t="s">
        <v>117</v>
      </c>
      <c r="B870" s="211">
        <v>902</v>
      </c>
      <c r="C870" s="211" t="s">
        <v>457</v>
      </c>
      <c r="D870" s="211">
        <v>1762241</v>
      </c>
      <c r="E870" s="211">
        <v>1020</v>
      </c>
      <c r="F870" s="211">
        <v>1110</v>
      </c>
      <c r="G870" s="211">
        <v>1004</v>
      </c>
      <c r="I870" s="211" t="s">
        <v>3044</v>
      </c>
      <c r="J870" s="212" t="s">
        <v>638</v>
      </c>
      <c r="K870" s="211" t="s">
        <v>524</v>
      </c>
      <c r="L870" s="211" t="s">
        <v>3124</v>
      </c>
      <c r="AD870" s="213"/>
    </row>
    <row r="871" spans="1:30" s="211" customFormat="1" x14ac:dyDescent="0.25">
      <c r="A871" s="211" t="s">
        <v>117</v>
      </c>
      <c r="B871" s="211">
        <v>902</v>
      </c>
      <c r="C871" s="211" t="s">
        <v>457</v>
      </c>
      <c r="D871" s="211">
        <v>1762566</v>
      </c>
      <c r="E871" s="211">
        <v>1020</v>
      </c>
      <c r="F871" s="211">
        <v>1121</v>
      </c>
      <c r="G871" s="211">
        <v>1004</v>
      </c>
      <c r="I871" s="211" t="s">
        <v>1365</v>
      </c>
      <c r="J871" s="212" t="s">
        <v>638</v>
      </c>
      <c r="K871" s="211" t="s">
        <v>524</v>
      </c>
      <c r="L871" s="211" t="s">
        <v>1408</v>
      </c>
      <c r="AD871" s="213"/>
    </row>
    <row r="872" spans="1:30" s="211" customFormat="1" x14ac:dyDescent="0.25">
      <c r="A872" s="211" t="s">
        <v>117</v>
      </c>
      <c r="B872" s="211">
        <v>902</v>
      </c>
      <c r="C872" s="211" t="s">
        <v>457</v>
      </c>
      <c r="D872" s="211">
        <v>191600472</v>
      </c>
      <c r="E872" s="211">
        <v>1060</v>
      </c>
      <c r="F872" s="211">
        <v>1274</v>
      </c>
      <c r="G872" s="211">
        <v>1004</v>
      </c>
      <c r="I872" s="211" t="s">
        <v>2652</v>
      </c>
      <c r="J872" s="212" t="s">
        <v>638</v>
      </c>
      <c r="K872" s="211" t="s">
        <v>524</v>
      </c>
      <c r="L872" s="211" t="s">
        <v>2662</v>
      </c>
      <c r="AD872" s="213"/>
    </row>
    <row r="873" spans="1:30" s="211" customFormat="1" x14ac:dyDescent="0.25">
      <c r="A873" s="211" t="s">
        <v>117</v>
      </c>
      <c r="B873" s="211">
        <v>902</v>
      </c>
      <c r="C873" s="211" t="s">
        <v>457</v>
      </c>
      <c r="D873" s="211">
        <v>191600473</v>
      </c>
      <c r="E873" s="211">
        <v>1060</v>
      </c>
      <c r="F873" s="211">
        <v>1274</v>
      </c>
      <c r="G873" s="211">
        <v>1004</v>
      </c>
      <c r="I873" s="211" t="s">
        <v>2652</v>
      </c>
      <c r="J873" s="212" t="s">
        <v>638</v>
      </c>
      <c r="K873" s="211" t="s">
        <v>524</v>
      </c>
      <c r="L873" s="211" t="s">
        <v>2663</v>
      </c>
      <c r="AD873" s="213"/>
    </row>
    <row r="874" spans="1:30" s="211" customFormat="1" x14ac:dyDescent="0.25">
      <c r="A874" s="211" t="s">
        <v>117</v>
      </c>
      <c r="B874" s="211">
        <v>902</v>
      </c>
      <c r="C874" s="211" t="s">
        <v>457</v>
      </c>
      <c r="D874" s="211">
        <v>192042240</v>
      </c>
      <c r="E874" s="211">
        <v>1060</v>
      </c>
      <c r="F874" s="211">
        <v>1263</v>
      </c>
      <c r="G874" s="211">
        <v>1003</v>
      </c>
      <c r="I874" s="211" t="s">
        <v>2795</v>
      </c>
      <c r="J874" s="212" t="s">
        <v>638</v>
      </c>
      <c r="K874" s="211" t="s">
        <v>639</v>
      </c>
      <c r="L874" s="211" t="s">
        <v>3138</v>
      </c>
      <c r="AD874" s="213"/>
    </row>
    <row r="875" spans="1:30" s="211" customFormat="1" x14ac:dyDescent="0.25">
      <c r="A875" s="211" t="s">
        <v>117</v>
      </c>
      <c r="B875" s="211">
        <v>902</v>
      </c>
      <c r="C875" s="211" t="s">
        <v>457</v>
      </c>
      <c r="D875" s="211">
        <v>192042242</v>
      </c>
      <c r="E875" s="211">
        <v>1060</v>
      </c>
      <c r="F875" s="211">
        <v>1252</v>
      </c>
      <c r="G875" s="211">
        <v>1003</v>
      </c>
      <c r="I875" s="211" t="s">
        <v>2795</v>
      </c>
      <c r="J875" s="212" t="s">
        <v>638</v>
      </c>
      <c r="K875" s="211" t="s">
        <v>639</v>
      </c>
      <c r="L875" s="211" t="s">
        <v>3138</v>
      </c>
      <c r="AD875" s="213"/>
    </row>
    <row r="876" spans="1:30" s="211" customFormat="1" x14ac:dyDescent="0.25">
      <c r="A876" s="211" t="s">
        <v>117</v>
      </c>
      <c r="B876" s="211">
        <v>902</v>
      </c>
      <c r="C876" s="211" t="s">
        <v>457</v>
      </c>
      <c r="D876" s="211">
        <v>192042243</v>
      </c>
      <c r="E876" s="211">
        <v>1080</v>
      </c>
      <c r="F876" s="211">
        <v>1242</v>
      </c>
      <c r="G876" s="211">
        <v>1003</v>
      </c>
      <c r="I876" s="211" t="s">
        <v>2795</v>
      </c>
      <c r="J876" s="212" t="s">
        <v>638</v>
      </c>
      <c r="K876" s="211" t="s">
        <v>639</v>
      </c>
      <c r="L876" s="211" t="s">
        <v>3138</v>
      </c>
      <c r="AD876" s="213"/>
    </row>
    <row r="877" spans="1:30" s="211" customFormat="1" x14ac:dyDescent="0.25">
      <c r="A877" s="211" t="s">
        <v>117</v>
      </c>
      <c r="B877" s="211">
        <v>902</v>
      </c>
      <c r="C877" s="211" t="s">
        <v>457</v>
      </c>
      <c r="D877" s="211">
        <v>192042244</v>
      </c>
      <c r="E877" s="211">
        <v>1080</v>
      </c>
      <c r="F877" s="211">
        <v>1242</v>
      </c>
      <c r="G877" s="211">
        <v>1003</v>
      </c>
      <c r="I877" s="211" t="s">
        <v>2795</v>
      </c>
      <c r="J877" s="212" t="s">
        <v>638</v>
      </c>
      <c r="K877" s="211" t="s">
        <v>639</v>
      </c>
      <c r="L877" s="211" t="s">
        <v>3138</v>
      </c>
      <c r="AD877" s="213"/>
    </row>
    <row r="878" spans="1:30" s="211" customFormat="1" x14ac:dyDescent="0.25">
      <c r="A878" s="211" t="s">
        <v>117</v>
      </c>
      <c r="B878" s="211">
        <v>902</v>
      </c>
      <c r="C878" s="211" t="s">
        <v>457</v>
      </c>
      <c r="D878" s="211">
        <v>192044565</v>
      </c>
      <c r="E878" s="211">
        <v>1060</v>
      </c>
      <c r="F878" s="211">
        <v>1242</v>
      </c>
      <c r="G878" s="211">
        <v>1003</v>
      </c>
      <c r="I878" s="211" t="s">
        <v>2952</v>
      </c>
      <c r="J878" s="212" t="s">
        <v>638</v>
      </c>
      <c r="K878" s="211" t="s">
        <v>639</v>
      </c>
      <c r="L878" s="211" t="s">
        <v>2987</v>
      </c>
      <c r="AD878" s="213"/>
    </row>
    <row r="879" spans="1:30" s="211" customFormat="1" x14ac:dyDescent="0.25">
      <c r="A879" s="211" t="s">
        <v>117</v>
      </c>
      <c r="B879" s="211">
        <v>902</v>
      </c>
      <c r="C879" s="211" t="s">
        <v>457</v>
      </c>
      <c r="D879" s="211">
        <v>502252806</v>
      </c>
      <c r="E879" s="211">
        <v>1060</v>
      </c>
      <c r="G879" s="211">
        <v>1004</v>
      </c>
      <c r="I879" s="211" t="s">
        <v>3789</v>
      </c>
      <c r="J879" s="212" t="s">
        <v>638</v>
      </c>
      <c r="K879" s="211" t="s">
        <v>639</v>
      </c>
      <c r="L879" s="211" t="s">
        <v>3844</v>
      </c>
      <c r="AD879" s="213"/>
    </row>
    <row r="880" spans="1:30" s="211" customFormat="1" x14ac:dyDescent="0.25">
      <c r="A880" s="211" t="s">
        <v>117</v>
      </c>
      <c r="B880" s="211">
        <v>903</v>
      </c>
      <c r="C880" s="211" t="s">
        <v>458</v>
      </c>
      <c r="D880" s="211">
        <v>191883514</v>
      </c>
      <c r="E880" s="211">
        <v>1060</v>
      </c>
      <c r="F880" s="211">
        <v>1271</v>
      </c>
      <c r="G880" s="211">
        <v>1004</v>
      </c>
      <c r="I880" s="211" t="s">
        <v>730</v>
      </c>
      <c r="J880" s="212" t="s">
        <v>638</v>
      </c>
      <c r="K880" s="211" t="s">
        <v>524</v>
      </c>
      <c r="L880" s="211" t="s">
        <v>896</v>
      </c>
      <c r="AD880" s="213"/>
    </row>
    <row r="881" spans="1:30" s="211" customFormat="1" x14ac:dyDescent="0.25">
      <c r="A881" s="211" t="s">
        <v>117</v>
      </c>
      <c r="B881" s="211">
        <v>905</v>
      </c>
      <c r="C881" s="211" t="s">
        <v>460</v>
      </c>
      <c r="D881" s="211">
        <v>191984273</v>
      </c>
      <c r="E881" s="211">
        <v>1020</v>
      </c>
      <c r="F881" s="211">
        <v>1110</v>
      </c>
      <c r="G881" s="211">
        <v>1004</v>
      </c>
      <c r="I881" s="211" t="s">
        <v>2924</v>
      </c>
      <c r="J881" s="212" t="s">
        <v>638</v>
      </c>
      <c r="K881" s="211" t="s">
        <v>524</v>
      </c>
      <c r="L881" s="211" t="s">
        <v>2925</v>
      </c>
      <c r="AD881" s="213"/>
    </row>
    <row r="882" spans="1:30" s="211" customFormat="1" x14ac:dyDescent="0.25">
      <c r="A882" s="211" t="s">
        <v>117</v>
      </c>
      <c r="B882" s="211">
        <v>908</v>
      </c>
      <c r="C882" s="211" t="s">
        <v>463</v>
      </c>
      <c r="D882" s="211">
        <v>191957749</v>
      </c>
      <c r="E882" s="211">
        <v>1060</v>
      </c>
      <c r="F882" s="211">
        <v>1242</v>
      </c>
      <c r="G882" s="211">
        <v>1004</v>
      </c>
      <c r="I882" s="211" t="s">
        <v>1558</v>
      </c>
      <c r="J882" s="212" t="s">
        <v>638</v>
      </c>
      <c r="K882" s="211" t="s">
        <v>524</v>
      </c>
      <c r="L882" s="211" t="s">
        <v>1572</v>
      </c>
      <c r="AD882" s="213"/>
    </row>
    <row r="883" spans="1:30" s="211" customFormat="1" x14ac:dyDescent="0.25">
      <c r="A883" s="211" t="s">
        <v>117</v>
      </c>
      <c r="B883" s="211">
        <v>908</v>
      </c>
      <c r="C883" s="211" t="s">
        <v>463</v>
      </c>
      <c r="D883" s="211">
        <v>191964399</v>
      </c>
      <c r="E883" s="211">
        <v>1060</v>
      </c>
      <c r="F883" s="211">
        <v>1242</v>
      </c>
      <c r="G883" s="211">
        <v>1004</v>
      </c>
      <c r="I883" s="211" t="s">
        <v>1810</v>
      </c>
      <c r="J883" s="212" t="s">
        <v>638</v>
      </c>
      <c r="K883" s="211" t="s">
        <v>524</v>
      </c>
      <c r="L883" s="211" t="s">
        <v>1821</v>
      </c>
      <c r="AD883" s="213"/>
    </row>
    <row r="884" spans="1:30" s="211" customFormat="1" x14ac:dyDescent="0.25">
      <c r="A884" s="211" t="s">
        <v>117</v>
      </c>
      <c r="B884" s="211">
        <v>908</v>
      </c>
      <c r="C884" s="211" t="s">
        <v>463</v>
      </c>
      <c r="D884" s="211">
        <v>191997262</v>
      </c>
      <c r="E884" s="211">
        <v>1060</v>
      </c>
      <c r="F884" s="211">
        <v>1274</v>
      </c>
      <c r="G884" s="211">
        <v>1003</v>
      </c>
      <c r="I884" s="211" t="s">
        <v>1811</v>
      </c>
      <c r="J884" s="212" t="s">
        <v>638</v>
      </c>
      <c r="K884" s="211" t="s">
        <v>524</v>
      </c>
      <c r="L884" s="211" t="s">
        <v>1822</v>
      </c>
      <c r="AD884" s="213"/>
    </row>
    <row r="885" spans="1:30" s="211" customFormat="1" x14ac:dyDescent="0.25">
      <c r="A885" s="211" t="s">
        <v>117</v>
      </c>
      <c r="B885" s="211">
        <v>908</v>
      </c>
      <c r="C885" s="211" t="s">
        <v>463</v>
      </c>
      <c r="D885" s="211">
        <v>192052337</v>
      </c>
      <c r="E885" s="211">
        <v>1060</v>
      </c>
      <c r="F885" s="211">
        <v>1274</v>
      </c>
      <c r="G885" s="211">
        <v>1004</v>
      </c>
      <c r="I885" s="211" t="s">
        <v>3790</v>
      </c>
      <c r="J885" s="212" t="s">
        <v>638</v>
      </c>
      <c r="K885" s="211" t="s">
        <v>524</v>
      </c>
      <c r="L885" s="211" t="s">
        <v>3832</v>
      </c>
      <c r="AD885" s="213"/>
    </row>
    <row r="886" spans="1:30" s="211" customFormat="1" x14ac:dyDescent="0.25">
      <c r="A886" s="211" t="s">
        <v>117</v>
      </c>
      <c r="B886" s="211">
        <v>909</v>
      </c>
      <c r="C886" s="211" t="s">
        <v>464</v>
      </c>
      <c r="D886" s="211">
        <v>1422393</v>
      </c>
      <c r="E886" s="211">
        <v>1030</v>
      </c>
      <c r="F886" s="211">
        <v>1110</v>
      </c>
      <c r="G886" s="211">
        <v>1004</v>
      </c>
      <c r="I886" s="211" t="s">
        <v>731</v>
      </c>
      <c r="J886" s="212" t="s">
        <v>638</v>
      </c>
      <c r="K886" s="211" t="s">
        <v>524</v>
      </c>
      <c r="L886" s="211" t="s">
        <v>897</v>
      </c>
      <c r="AD886" s="213"/>
    </row>
    <row r="887" spans="1:30" s="211" customFormat="1" x14ac:dyDescent="0.25">
      <c r="A887" s="211" t="s">
        <v>117</v>
      </c>
      <c r="B887" s="211">
        <v>909</v>
      </c>
      <c r="C887" s="211" t="s">
        <v>464</v>
      </c>
      <c r="D887" s="211">
        <v>191857803</v>
      </c>
      <c r="E887" s="211">
        <v>1060</v>
      </c>
      <c r="F887" s="211">
        <v>1242</v>
      </c>
      <c r="G887" s="211">
        <v>1004</v>
      </c>
      <c r="I887" s="211" t="s">
        <v>2796</v>
      </c>
      <c r="J887" s="212" t="s">
        <v>638</v>
      </c>
      <c r="K887" s="211" t="s">
        <v>639</v>
      </c>
      <c r="L887" s="211" t="s">
        <v>2843</v>
      </c>
      <c r="AD887" s="213"/>
    </row>
    <row r="888" spans="1:30" s="211" customFormat="1" x14ac:dyDescent="0.25">
      <c r="A888" s="211" t="s">
        <v>117</v>
      </c>
      <c r="B888" s="211">
        <v>909</v>
      </c>
      <c r="C888" s="211" t="s">
        <v>464</v>
      </c>
      <c r="D888" s="211">
        <v>191952888</v>
      </c>
      <c r="E888" s="211">
        <v>1060</v>
      </c>
      <c r="F888" s="211">
        <v>1242</v>
      </c>
      <c r="G888" s="211">
        <v>1004</v>
      </c>
      <c r="I888" s="211" t="s">
        <v>965</v>
      </c>
      <c r="J888" s="212" t="s">
        <v>638</v>
      </c>
      <c r="K888" s="211" t="s">
        <v>524</v>
      </c>
      <c r="L888" s="211" t="s">
        <v>1302</v>
      </c>
      <c r="AD888" s="213"/>
    </row>
    <row r="889" spans="1:30" s="211" customFormat="1" x14ac:dyDescent="0.25">
      <c r="A889" s="211" t="s">
        <v>117</v>
      </c>
      <c r="B889" s="211">
        <v>909</v>
      </c>
      <c r="C889" s="211" t="s">
        <v>464</v>
      </c>
      <c r="D889" s="211">
        <v>191952889</v>
      </c>
      <c r="E889" s="211">
        <v>1060</v>
      </c>
      <c r="F889" s="211">
        <v>1242</v>
      </c>
      <c r="G889" s="211">
        <v>1004</v>
      </c>
      <c r="I889" s="211" t="s">
        <v>966</v>
      </c>
      <c r="J889" s="212" t="s">
        <v>638</v>
      </c>
      <c r="K889" s="211" t="s">
        <v>524</v>
      </c>
      <c r="L889" s="211" t="s">
        <v>1303</v>
      </c>
      <c r="AD889" s="213"/>
    </row>
    <row r="890" spans="1:30" s="211" customFormat="1" x14ac:dyDescent="0.25">
      <c r="A890" s="211" t="s">
        <v>117</v>
      </c>
      <c r="B890" s="211">
        <v>909</v>
      </c>
      <c r="C890" s="211" t="s">
        <v>464</v>
      </c>
      <c r="D890" s="211">
        <v>502277019</v>
      </c>
      <c r="E890" s="211">
        <v>1060</v>
      </c>
      <c r="G890" s="211">
        <v>1004</v>
      </c>
      <c r="I890" s="211" t="s">
        <v>2797</v>
      </c>
      <c r="J890" s="212" t="s">
        <v>638</v>
      </c>
      <c r="K890" s="211" t="s">
        <v>526</v>
      </c>
      <c r="L890" s="211" t="s">
        <v>2819</v>
      </c>
      <c r="AD890" s="213"/>
    </row>
    <row r="891" spans="1:30" s="211" customFormat="1" x14ac:dyDescent="0.25">
      <c r="A891" s="211" t="s">
        <v>117</v>
      </c>
      <c r="B891" s="211">
        <v>909</v>
      </c>
      <c r="C891" s="211" t="s">
        <v>464</v>
      </c>
      <c r="D891" s="211">
        <v>502277020</v>
      </c>
      <c r="E891" s="211">
        <v>1060</v>
      </c>
      <c r="G891" s="211">
        <v>1004</v>
      </c>
      <c r="I891" s="211" t="s">
        <v>2798</v>
      </c>
      <c r="J891" s="212" t="s">
        <v>638</v>
      </c>
      <c r="K891" s="211" t="s">
        <v>526</v>
      </c>
      <c r="L891" s="211" t="s">
        <v>2819</v>
      </c>
      <c r="AD891" s="213"/>
    </row>
    <row r="892" spans="1:30" s="211" customFormat="1" x14ac:dyDescent="0.25">
      <c r="A892" s="211" t="s">
        <v>117</v>
      </c>
      <c r="B892" s="211">
        <v>909</v>
      </c>
      <c r="C892" s="211" t="s">
        <v>464</v>
      </c>
      <c r="D892" s="211">
        <v>502277021</v>
      </c>
      <c r="E892" s="211">
        <v>1060</v>
      </c>
      <c r="G892" s="211">
        <v>1004</v>
      </c>
      <c r="I892" s="211" t="s">
        <v>2799</v>
      </c>
      <c r="J892" s="212" t="s">
        <v>638</v>
      </c>
      <c r="K892" s="211" t="s">
        <v>526</v>
      </c>
      <c r="L892" s="211" t="s">
        <v>2819</v>
      </c>
      <c r="AD892" s="213"/>
    </row>
    <row r="893" spans="1:30" s="211" customFormat="1" x14ac:dyDescent="0.25">
      <c r="A893" s="211" t="s">
        <v>117</v>
      </c>
      <c r="B893" s="211">
        <v>909</v>
      </c>
      <c r="C893" s="211" t="s">
        <v>464</v>
      </c>
      <c r="D893" s="211">
        <v>502277124</v>
      </c>
      <c r="E893" s="211">
        <v>1060</v>
      </c>
      <c r="F893" s="211">
        <v>1261</v>
      </c>
      <c r="G893" s="211">
        <v>1004</v>
      </c>
      <c r="I893" s="211" t="s">
        <v>2719</v>
      </c>
      <c r="J893" s="212" t="s">
        <v>638</v>
      </c>
      <c r="K893" s="211" t="s">
        <v>524</v>
      </c>
      <c r="L893" s="211" t="s">
        <v>2739</v>
      </c>
      <c r="AD893" s="213"/>
    </row>
    <row r="894" spans="1:30" s="211" customFormat="1" x14ac:dyDescent="0.25">
      <c r="A894" s="211" t="s">
        <v>117</v>
      </c>
      <c r="B894" s="211">
        <v>922</v>
      </c>
      <c r="C894" s="211" t="s">
        <v>466</v>
      </c>
      <c r="D894" s="211">
        <v>192024317</v>
      </c>
      <c r="E894" s="211">
        <v>1060</v>
      </c>
      <c r="F894" s="211">
        <v>1271</v>
      </c>
      <c r="G894" s="211">
        <v>1004</v>
      </c>
      <c r="I894" s="211" t="s">
        <v>2200</v>
      </c>
      <c r="J894" s="212" t="s">
        <v>638</v>
      </c>
      <c r="K894" s="211" t="s">
        <v>524</v>
      </c>
      <c r="L894" s="211" t="s">
        <v>2211</v>
      </c>
      <c r="AD894" s="213"/>
    </row>
    <row r="895" spans="1:30" s="211" customFormat="1" x14ac:dyDescent="0.25">
      <c r="A895" s="211" t="s">
        <v>117</v>
      </c>
      <c r="B895" s="211">
        <v>922</v>
      </c>
      <c r="C895" s="211" t="s">
        <v>466</v>
      </c>
      <c r="D895" s="211">
        <v>192047277</v>
      </c>
      <c r="E895" s="211">
        <v>1020</v>
      </c>
      <c r="F895" s="211">
        <v>1110</v>
      </c>
      <c r="G895" s="211">
        <v>1004</v>
      </c>
      <c r="I895" s="211" t="s">
        <v>3161</v>
      </c>
      <c r="J895" s="212" t="s">
        <v>638</v>
      </c>
      <c r="K895" s="211" t="s">
        <v>524</v>
      </c>
      <c r="L895" s="211" t="s">
        <v>3187</v>
      </c>
      <c r="AD895" s="213"/>
    </row>
    <row r="896" spans="1:30" s="211" customFormat="1" x14ac:dyDescent="0.25">
      <c r="A896" s="211" t="s">
        <v>117</v>
      </c>
      <c r="B896" s="211">
        <v>922</v>
      </c>
      <c r="C896" s="211" t="s">
        <v>466</v>
      </c>
      <c r="D896" s="211">
        <v>192051934</v>
      </c>
      <c r="E896" s="211">
        <v>1060</v>
      </c>
      <c r="F896" s="211">
        <v>1252</v>
      </c>
      <c r="G896" s="211">
        <v>1004</v>
      </c>
      <c r="I896" s="211" t="s">
        <v>3791</v>
      </c>
      <c r="J896" s="212" t="s">
        <v>638</v>
      </c>
      <c r="K896" s="211" t="s">
        <v>524</v>
      </c>
      <c r="L896" s="211" t="s">
        <v>3833</v>
      </c>
      <c r="AD896" s="213"/>
    </row>
    <row r="897" spans="1:30" s="211" customFormat="1" x14ac:dyDescent="0.25">
      <c r="A897" s="211" t="s">
        <v>117</v>
      </c>
      <c r="B897" s="211">
        <v>923</v>
      </c>
      <c r="C897" s="211" t="s">
        <v>467</v>
      </c>
      <c r="D897" s="211">
        <v>192047605</v>
      </c>
      <c r="E897" s="211">
        <v>1020</v>
      </c>
      <c r="F897" s="211">
        <v>1110</v>
      </c>
      <c r="G897" s="211">
        <v>1004</v>
      </c>
      <c r="I897" s="211" t="s">
        <v>3205</v>
      </c>
      <c r="J897" s="212" t="s">
        <v>638</v>
      </c>
      <c r="K897" s="211" t="s">
        <v>639</v>
      </c>
      <c r="L897" s="211" t="s">
        <v>3211</v>
      </c>
      <c r="AD897" s="213"/>
    </row>
    <row r="898" spans="1:30" s="211" customFormat="1" x14ac:dyDescent="0.25">
      <c r="A898" s="211" t="s">
        <v>117</v>
      </c>
      <c r="B898" s="211">
        <v>923</v>
      </c>
      <c r="C898" s="211" t="s">
        <v>467</v>
      </c>
      <c r="D898" s="211">
        <v>502055267</v>
      </c>
      <c r="E898" s="211">
        <v>1060</v>
      </c>
      <c r="G898" s="211">
        <v>1004</v>
      </c>
      <c r="I898" s="211" t="s">
        <v>3296</v>
      </c>
      <c r="J898" s="212" t="s">
        <v>638</v>
      </c>
      <c r="K898" s="211" t="s">
        <v>524</v>
      </c>
      <c r="L898" s="211" t="s">
        <v>3345</v>
      </c>
      <c r="AD898" s="213"/>
    </row>
    <row r="899" spans="1:30" s="211" customFormat="1" x14ac:dyDescent="0.25">
      <c r="A899" s="211" t="s">
        <v>117</v>
      </c>
      <c r="B899" s="211">
        <v>924</v>
      </c>
      <c r="C899" s="211" t="s">
        <v>468</v>
      </c>
      <c r="D899" s="211">
        <v>504005401</v>
      </c>
      <c r="E899" s="211">
        <v>1060</v>
      </c>
      <c r="F899" s="211">
        <v>1271</v>
      </c>
      <c r="G899" s="211">
        <v>1004</v>
      </c>
      <c r="I899" s="211" t="s">
        <v>3045</v>
      </c>
      <c r="J899" s="212" t="s">
        <v>638</v>
      </c>
      <c r="K899" s="211" t="s">
        <v>524</v>
      </c>
      <c r="L899" s="211" t="s">
        <v>3125</v>
      </c>
      <c r="AD899" s="213"/>
    </row>
    <row r="900" spans="1:30" s="211" customFormat="1" x14ac:dyDescent="0.25">
      <c r="A900" s="211" t="s">
        <v>117</v>
      </c>
      <c r="B900" s="211">
        <v>924</v>
      </c>
      <c r="C900" s="211" t="s">
        <v>468</v>
      </c>
      <c r="D900" s="211">
        <v>504005402</v>
      </c>
      <c r="E900" s="211">
        <v>1060</v>
      </c>
      <c r="F900" s="211">
        <v>1271</v>
      </c>
      <c r="G900" s="211">
        <v>1004</v>
      </c>
      <c r="I900" s="211" t="s">
        <v>3046</v>
      </c>
      <c r="J900" s="212" t="s">
        <v>638</v>
      </c>
      <c r="K900" s="211" t="s">
        <v>524</v>
      </c>
      <c r="L900" s="211" t="s">
        <v>3126</v>
      </c>
      <c r="AD900" s="213"/>
    </row>
    <row r="901" spans="1:30" s="211" customFormat="1" x14ac:dyDescent="0.25">
      <c r="A901" s="211" t="s">
        <v>117</v>
      </c>
      <c r="B901" s="211">
        <v>924</v>
      </c>
      <c r="C901" s="211" t="s">
        <v>468</v>
      </c>
      <c r="D901" s="211">
        <v>504005420</v>
      </c>
      <c r="E901" s="211">
        <v>1060</v>
      </c>
      <c r="F901" s="211">
        <v>1271</v>
      </c>
      <c r="G901" s="211">
        <v>1004</v>
      </c>
      <c r="I901" s="211" t="s">
        <v>3792</v>
      </c>
      <c r="J901" s="212" t="s">
        <v>638</v>
      </c>
      <c r="K901" s="211" t="s">
        <v>524</v>
      </c>
      <c r="L901" s="211" t="s">
        <v>3834</v>
      </c>
      <c r="AD901" s="213"/>
    </row>
    <row r="902" spans="1:30" s="211" customFormat="1" x14ac:dyDescent="0.25">
      <c r="A902" s="211" t="s">
        <v>117</v>
      </c>
      <c r="B902" s="211">
        <v>924</v>
      </c>
      <c r="C902" s="211" t="s">
        <v>468</v>
      </c>
      <c r="D902" s="211">
        <v>504005425</v>
      </c>
      <c r="E902" s="211">
        <v>1060</v>
      </c>
      <c r="F902" s="211">
        <v>1271</v>
      </c>
      <c r="G902" s="211">
        <v>1004</v>
      </c>
      <c r="I902" s="211" t="s">
        <v>3047</v>
      </c>
      <c r="J902" s="212" t="s">
        <v>638</v>
      </c>
      <c r="K902" s="211" t="s">
        <v>524</v>
      </c>
      <c r="L902" s="211" t="s">
        <v>3127</v>
      </c>
      <c r="AD902" s="213"/>
    </row>
    <row r="903" spans="1:30" s="211" customFormat="1" x14ac:dyDescent="0.25">
      <c r="A903" s="211" t="s">
        <v>117</v>
      </c>
      <c r="B903" s="211">
        <v>925</v>
      </c>
      <c r="C903" s="211" t="s">
        <v>469</v>
      </c>
      <c r="D903" s="211">
        <v>192022743</v>
      </c>
      <c r="E903" s="211">
        <v>1060</v>
      </c>
      <c r="F903" s="211">
        <v>1274</v>
      </c>
      <c r="G903" s="211">
        <v>1004</v>
      </c>
      <c r="I903" s="211" t="s">
        <v>2953</v>
      </c>
      <c r="J903" s="212" t="s">
        <v>638</v>
      </c>
      <c r="K903" s="211" t="s">
        <v>524</v>
      </c>
      <c r="L903" s="211" t="s">
        <v>2976</v>
      </c>
      <c r="AD903" s="213"/>
    </row>
    <row r="904" spans="1:30" s="211" customFormat="1" x14ac:dyDescent="0.25">
      <c r="A904" s="211" t="s">
        <v>117</v>
      </c>
      <c r="B904" s="211">
        <v>927</v>
      </c>
      <c r="C904" s="211" t="s">
        <v>470</v>
      </c>
      <c r="D904" s="211">
        <v>190424494</v>
      </c>
      <c r="E904" s="211">
        <v>1060</v>
      </c>
      <c r="F904" s="211">
        <v>1252</v>
      </c>
      <c r="G904" s="211">
        <v>1004</v>
      </c>
      <c r="I904" s="211" t="s">
        <v>1452</v>
      </c>
      <c r="J904" s="212" t="s">
        <v>638</v>
      </c>
      <c r="K904" s="211" t="s">
        <v>524</v>
      </c>
      <c r="L904" s="211" t="s">
        <v>1471</v>
      </c>
      <c r="AD904" s="213"/>
    </row>
    <row r="905" spans="1:30" s="211" customFormat="1" x14ac:dyDescent="0.25">
      <c r="A905" s="211" t="s">
        <v>117</v>
      </c>
      <c r="B905" s="211">
        <v>927</v>
      </c>
      <c r="C905" s="211" t="s">
        <v>470</v>
      </c>
      <c r="D905" s="211">
        <v>190428253</v>
      </c>
      <c r="E905" s="211">
        <v>1060</v>
      </c>
      <c r="F905" s="211">
        <v>1274</v>
      </c>
      <c r="G905" s="211">
        <v>1004</v>
      </c>
      <c r="I905" s="211" t="s">
        <v>1453</v>
      </c>
      <c r="J905" s="212" t="s">
        <v>638</v>
      </c>
      <c r="K905" s="211" t="s">
        <v>524</v>
      </c>
      <c r="L905" s="211" t="s">
        <v>1472</v>
      </c>
      <c r="AD905" s="213"/>
    </row>
    <row r="906" spans="1:30" s="211" customFormat="1" x14ac:dyDescent="0.25">
      <c r="A906" s="211" t="s">
        <v>117</v>
      </c>
      <c r="B906" s="211">
        <v>927</v>
      </c>
      <c r="C906" s="211" t="s">
        <v>470</v>
      </c>
      <c r="D906" s="211">
        <v>191989220</v>
      </c>
      <c r="E906" s="211">
        <v>1060</v>
      </c>
      <c r="F906" s="211">
        <v>1274</v>
      </c>
      <c r="G906" s="211">
        <v>1004</v>
      </c>
      <c r="I906" s="211" t="s">
        <v>1454</v>
      </c>
      <c r="J906" s="212" t="s">
        <v>638</v>
      </c>
      <c r="K906" s="211" t="s">
        <v>524</v>
      </c>
      <c r="L906" s="211" t="s">
        <v>1473</v>
      </c>
      <c r="AD906" s="213"/>
    </row>
    <row r="907" spans="1:30" s="211" customFormat="1" x14ac:dyDescent="0.25">
      <c r="A907" s="211" t="s">
        <v>117</v>
      </c>
      <c r="B907" s="211">
        <v>928</v>
      </c>
      <c r="C907" s="211" t="s">
        <v>471</v>
      </c>
      <c r="D907" s="211">
        <v>1424756</v>
      </c>
      <c r="E907" s="211">
        <v>1020</v>
      </c>
      <c r="F907" s="211">
        <v>1110</v>
      </c>
      <c r="G907" s="211">
        <v>1004</v>
      </c>
      <c r="I907" s="211" t="s">
        <v>3297</v>
      </c>
      <c r="J907" s="212" t="s">
        <v>638</v>
      </c>
      <c r="K907" s="211" t="s">
        <v>639</v>
      </c>
      <c r="L907" s="211" t="s">
        <v>3357</v>
      </c>
      <c r="AD907" s="213"/>
    </row>
    <row r="908" spans="1:30" s="211" customFormat="1" x14ac:dyDescent="0.25">
      <c r="A908" s="211" t="s">
        <v>117</v>
      </c>
      <c r="B908" s="211">
        <v>928</v>
      </c>
      <c r="C908" s="211" t="s">
        <v>471</v>
      </c>
      <c r="D908" s="211">
        <v>502038755</v>
      </c>
      <c r="E908" s="211">
        <v>1060</v>
      </c>
      <c r="F908" s="211">
        <v>1242</v>
      </c>
      <c r="G908" s="211">
        <v>1004</v>
      </c>
      <c r="I908" s="211" t="s">
        <v>2857</v>
      </c>
      <c r="J908" s="212" t="s">
        <v>638</v>
      </c>
      <c r="K908" s="211" t="s">
        <v>524</v>
      </c>
      <c r="L908" s="211" t="s">
        <v>2880</v>
      </c>
      <c r="AD908" s="213"/>
    </row>
    <row r="909" spans="1:30" s="211" customFormat="1" x14ac:dyDescent="0.25">
      <c r="A909" s="211" t="s">
        <v>117</v>
      </c>
      <c r="B909" s="211">
        <v>928</v>
      </c>
      <c r="C909" s="211" t="s">
        <v>471</v>
      </c>
      <c r="D909" s="211">
        <v>502039323</v>
      </c>
      <c r="E909" s="211">
        <v>1060</v>
      </c>
      <c r="F909" s="211">
        <v>1252</v>
      </c>
      <c r="G909" s="211">
        <v>1004</v>
      </c>
      <c r="I909" s="211" t="s">
        <v>3298</v>
      </c>
      <c r="J909" s="212" t="s">
        <v>638</v>
      </c>
      <c r="K909" s="211" t="s">
        <v>639</v>
      </c>
      <c r="L909" s="211" t="s">
        <v>3357</v>
      </c>
      <c r="AD909" s="213"/>
    </row>
    <row r="910" spans="1:30" s="211" customFormat="1" x14ac:dyDescent="0.25">
      <c r="A910" s="211" t="s">
        <v>117</v>
      </c>
      <c r="B910" s="211">
        <v>929</v>
      </c>
      <c r="C910" s="211" t="s">
        <v>472</v>
      </c>
      <c r="D910" s="211">
        <v>191884863</v>
      </c>
      <c r="E910" s="211">
        <v>1080</v>
      </c>
      <c r="F910" s="211">
        <v>1242</v>
      </c>
      <c r="G910" s="211">
        <v>1004</v>
      </c>
      <c r="I910" s="211" t="s">
        <v>1455</v>
      </c>
      <c r="J910" s="212" t="s">
        <v>638</v>
      </c>
      <c r="K910" s="211" t="s">
        <v>524</v>
      </c>
      <c r="L910" s="211" t="s">
        <v>1474</v>
      </c>
      <c r="AD910" s="213"/>
    </row>
    <row r="911" spans="1:30" s="211" customFormat="1" x14ac:dyDescent="0.25">
      <c r="A911" s="211" t="s">
        <v>117</v>
      </c>
      <c r="B911" s="211">
        <v>929</v>
      </c>
      <c r="C911" s="211" t="s">
        <v>472</v>
      </c>
      <c r="D911" s="211">
        <v>191901720</v>
      </c>
      <c r="E911" s="211">
        <v>1060</v>
      </c>
      <c r="F911" s="211">
        <v>1242</v>
      </c>
      <c r="G911" s="211">
        <v>1004</v>
      </c>
      <c r="I911" s="211" t="s">
        <v>2954</v>
      </c>
      <c r="J911" s="212" t="s">
        <v>638</v>
      </c>
      <c r="K911" s="211" t="s">
        <v>524</v>
      </c>
      <c r="L911" s="211" t="s">
        <v>2977</v>
      </c>
      <c r="AD911" s="213"/>
    </row>
    <row r="912" spans="1:30" s="211" customFormat="1" x14ac:dyDescent="0.25">
      <c r="A912" s="211" t="s">
        <v>117</v>
      </c>
      <c r="B912" s="211">
        <v>929</v>
      </c>
      <c r="C912" s="211" t="s">
        <v>472</v>
      </c>
      <c r="D912" s="211">
        <v>192004744</v>
      </c>
      <c r="E912" s="211">
        <v>1060</v>
      </c>
      <c r="F912" s="211">
        <v>1242</v>
      </c>
      <c r="G912" s="211">
        <v>1003</v>
      </c>
      <c r="I912" s="211" t="s">
        <v>2621</v>
      </c>
      <c r="J912" s="212" t="s">
        <v>638</v>
      </c>
      <c r="K912" s="211" t="s">
        <v>639</v>
      </c>
      <c r="L912" s="211" t="s">
        <v>2704</v>
      </c>
      <c r="AD912" s="213"/>
    </row>
    <row r="913" spans="1:30" s="211" customFormat="1" x14ac:dyDescent="0.25">
      <c r="A913" s="211" t="s">
        <v>117</v>
      </c>
      <c r="B913" s="211">
        <v>929</v>
      </c>
      <c r="C913" s="211" t="s">
        <v>472</v>
      </c>
      <c r="D913" s="211">
        <v>192004838</v>
      </c>
      <c r="E913" s="211">
        <v>1060</v>
      </c>
      <c r="F913" s="211">
        <v>1242</v>
      </c>
      <c r="G913" s="211">
        <v>1003</v>
      </c>
      <c r="I913" s="211" t="s">
        <v>3793</v>
      </c>
      <c r="J913" s="212" t="s">
        <v>638</v>
      </c>
      <c r="K913" s="211" t="s">
        <v>639</v>
      </c>
      <c r="L913" s="211" t="s">
        <v>3845</v>
      </c>
      <c r="AD913" s="213"/>
    </row>
    <row r="914" spans="1:30" s="211" customFormat="1" x14ac:dyDescent="0.25">
      <c r="A914" s="211" t="s">
        <v>117</v>
      </c>
      <c r="B914" s="211">
        <v>935</v>
      </c>
      <c r="C914" s="211" t="s">
        <v>476</v>
      </c>
      <c r="D914" s="211">
        <v>191991191</v>
      </c>
      <c r="E914" s="211">
        <v>1060</v>
      </c>
      <c r="F914" s="211">
        <v>1271</v>
      </c>
      <c r="G914" s="211">
        <v>1004</v>
      </c>
      <c r="I914" s="211" t="s">
        <v>1622</v>
      </c>
      <c r="J914" s="212" t="s">
        <v>638</v>
      </c>
      <c r="K914" s="211" t="s">
        <v>524</v>
      </c>
      <c r="L914" s="211" t="s">
        <v>1624</v>
      </c>
      <c r="AD914" s="213"/>
    </row>
    <row r="915" spans="1:30" s="211" customFormat="1" x14ac:dyDescent="0.25">
      <c r="A915" s="211" t="s">
        <v>117</v>
      </c>
      <c r="B915" s="211">
        <v>935</v>
      </c>
      <c r="C915" s="211" t="s">
        <v>476</v>
      </c>
      <c r="D915" s="211">
        <v>192018658</v>
      </c>
      <c r="E915" s="211">
        <v>1060</v>
      </c>
      <c r="F915" s="211">
        <v>1271</v>
      </c>
      <c r="G915" s="211">
        <v>1004</v>
      </c>
      <c r="I915" s="211" t="s">
        <v>2055</v>
      </c>
      <c r="J915" s="212" t="s">
        <v>638</v>
      </c>
      <c r="K915" s="211" t="s">
        <v>524</v>
      </c>
      <c r="L915" s="211" t="s">
        <v>2063</v>
      </c>
      <c r="AD915" s="213"/>
    </row>
    <row r="916" spans="1:30" s="211" customFormat="1" x14ac:dyDescent="0.25">
      <c r="A916" s="211" t="s">
        <v>117</v>
      </c>
      <c r="B916" s="211">
        <v>935</v>
      </c>
      <c r="C916" s="211" t="s">
        <v>476</v>
      </c>
      <c r="D916" s="211">
        <v>502043455</v>
      </c>
      <c r="E916" s="211">
        <v>1060</v>
      </c>
      <c r="F916" s="211">
        <v>1274</v>
      </c>
      <c r="G916" s="211">
        <v>1004</v>
      </c>
      <c r="I916" s="211" t="s">
        <v>2376</v>
      </c>
      <c r="J916" s="212" t="s">
        <v>638</v>
      </c>
      <c r="K916" s="211" t="s">
        <v>639</v>
      </c>
      <c r="L916" s="211" t="s">
        <v>3139</v>
      </c>
      <c r="AD916" s="213"/>
    </row>
    <row r="917" spans="1:30" s="211" customFormat="1" x14ac:dyDescent="0.25">
      <c r="A917" s="211" t="s">
        <v>117</v>
      </c>
      <c r="B917" s="211">
        <v>938</v>
      </c>
      <c r="C917" s="211" t="s">
        <v>478</v>
      </c>
      <c r="D917" s="211">
        <v>190599948</v>
      </c>
      <c r="E917" s="211">
        <v>1060</v>
      </c>
      <c r="F917" s="211">
        <v>1271</v>
      </c>
      <c r="G917" s="211">
        <v>1004</v>
      </c>
      <c r="I917" s="211" t="s">
        <v>1366</v>
      </c>
      <c r="J917" s="212" t="s">
        <v>638</v>
      </c>
      <c r="K917" s="211" t="s">
        <v>524</v>
      </c>
      <c r="L917" s="211" t="s">
        <v>1409</v>
      </c>
      <c r="AD917" s="213"/>
    </row>
    <row r="918" spans="1:30" s="211" customFormat="1" x14ac:dyDescent="0.25">
      <c r="A918" s="211" t="s">
        <v>117</v>
      </c>
      <c r="B918" s="211">
        <v>938</v>
      </c>
      <c r="C918" s="211" t="s">
        <v>478</v>
      </c>
      <c r="D918" s="211">
        <v>190599950</v>
      </c>
      <c r="E918" s="211">
        <v>1060</v>
      </c>
      <c r="F918" s="211">
        <v>1271</v>
      </c>
      <c r="G918" s="211">
        <v>1004</v>
      </c>
      <c r="I918" s="211" t="s">
        <v>1559</v>
      </c>
      <c r="J918" s="212" t="s">
        <v>638</v>
      </c>
      <c r="K918" s="211" t="s">
        <v>524</v>
      </c>
      <c r="L918" s="211" t="s">
        <v>1410</v>
      </c>
      <c r="AD918" s="213"/>
    </row>
    <row r="919" spans="1:30" s="211" customFormat="1" x14ac:dyDescent="0.25">
      <c r="A919" s="211" t="s">
        <v>117</v>
      </c>
      <c r="B919" s="211">
        <v>938</v>
      </c>
      <c r="C919" s="211" t="s">
        <v>478</v>
      </c>
      <c r="D919" s="211">
        <v>191575882</v>
      </c>
      <c r="E919" s="211">
        <v>1060</v>
      </c>
      <c r="F919" s="211">
        <v>1274</v>
      </c>
      <c r="G919" s="211">
        <v>1004</v>
      </c>
      <c r="I919" s="211" t="s">
        <v>1367</v>
      </c>
      <c r="J919" s="212" t="s">
        <v>638</v>
      </c>
      <c r="K919" s="211" t="s">
        <v>524</v>
      </c>
      <c r="L919" s="211" t="s">
        <v>1411</v>
      </c>
      <c r="AD919" s="213"/>
    </row>
    <row r="920" spans="1:30" s="211" customFormat="1" x14ac:dyDescent="0.25">
      <c r="A920" s="211" t="s">
        <v>117</v>
      </c>
      <c r="B920" s="211">
        <v>938</v>
      </c>
      <c r="C920" s="211" t="s">
        <v>478</v>
      </c>
      <c r="D920" s="211">
        <v>191729351</v>
      </c>
      <c r="E920" s="211">
        <v>1080</v>
      </c>
      <c r="F920" s="211">
        <v>1242</v>
      </c>
      <c r="G920" s="211">
        <v>1004</v>
      </c>
      <c r="I920" s="211" t="s">
        <v>1368</v>
      </c>
      <c r="J920" s="212" t="s">
        <v>638</v>
      </c>
      <c r="K920" s="211" t="s">
        <v>524</v>
      </c>
      <c r="L920" s="211" t="s">
        <v>1412</v>
      </c>
      <c r="AD920" s="213"/>
    </row>
    <row r="921" spans="1:30" s="211" customFormat="1" x14ac:dyDescent="0.25">
      <c r="A921" s="211" t="s">
        <v>117</v>
      </c>
      <c r="B921" s="211">
        <v>938</v>
      </c>
      <c r="C921" s="211" t="s">
        <v>478</v>
      </c>
      <c r="D921" s="211">
        <v>191855211</v>
      </c>
      <c r="E921" s="211">
        <v>1080</v>
      </c>
      <c r="F921" s="211">
        <v>1242</v>
      </c>
      <c r="G921" s="211">
        <v>1003</v>
      </c>
      <c r="I921" s="211" t="s">
        <v>1606</v>
      </c>
      <c r="J921" s="212" t="s">
        <v>638</v>
      </c>
      <c r="K921" s="211" t="s">
        <v>524</v>
      </c>
      <c r="L921" s="211" t="s">
        <v>1614</v>
      </c>
      <c r="AD921" s="213"/>
    </row>
    <row r="922" spans="1:30" s="211" customFormat="1" x14ac:dyDescent="0.25">
      <c r="A922" s="211" t="s">
        <v>117</v>
      </c>
      <c r="B922" s="211">
        <v>938</v>
      </c>
      <c r="C922" s="211" t="s">
        <v>478</v>
      </c>
      <c r="D922" s="211">
        <v>191875019</v>
      </c>
      <c r="E922" s="211">
        <v>1060</v>
      </c>
      <c r="F922" s="211">
        <v>1242</v>
      </c>
      <c r="G922" s="211">
        <v>1004</v>
      </c>
      <c r="I922" s="211" t="s">
        <v>1369</v>
      </c>
      <c r="J922" s="212" t="s">
        <v>638</v>
      </c>
      <c r="K922" s="211" t="s">
        <v>524</v>
      </c>
      <c r="L922" s="211" t="s">
        <v>1413</v>
      </c>
      <c r="AD922" s="213"/>
    </row>
    <row r="923" spans="1:30" s="211" customFormat="1" x14ac:dyDescent="0.25">
      <c r="A923" s="211" t="s">
        <v>117</v>
      </c>
      <c r="B923" s="211">
        <v>938</v>
      </c>
      <c r="C923" s="211" t="s">
        <v>478</v>
      </c>
      <c r="D923" s="211">
        <v>191949588</v>
      </c>
      <c r="E923" s="211">
        <v>1060</v>
      </c>
      <c r="F923" s="211">
        <v>1274</v>
      </c>
      <c r="G923" s="211">
        <v>1003</v>
      </c>
      <c r="I923" s="211" t="s">
        <v>1370</v>
      </c>
      <c r="J923" s="212" t="s">
        <v>638</v>
      </c>
      <c r="K923" s="211" t="s">
        <v>639</v>
      </c>
      <c r="L923" s="211" t="s">
        <v>1428</v>
      </c>
      <c r="AD923" s="213"/>
    </row>
    <row r="924" spans="1:30" s="211" customFormat="1" x14ac:dyDescent="0.25">
      <c r="A924" s="211" t="s">
        <v>117</v>
      </c>
      <c r="B924" s="211">
        <v>938</v>
      </c>
      <c r="C924" s="211" t="s">
        <v>478</v>
      </c>
      <c r="D924" s="211">
        <v>191967981</v>
      </c>
      <c r="E924" s="211">
        <v>1060</v>
      </c>
      <c r="F924" s="211">
        <v>1242</v>
      </c>
      <c r="G924" s="211">
        <v>1004</v>
      </c>
      <c r="I924" s="211" t="s">
        <v>3794</v>
      </c>
      <c r="J924" s="212" t="s">
        <v>638</v>
      </c>
      <c r="K924" s="211" t="s">
        <v>524</v>
      </c>
      <c r="L924" s="211" t="s">
        <v>3835</v>
      </c>
      <c r="AD924" s="213"/>
    </row>
    <row r="925" spans="1:30" s="211" customFormat="1" x14ac:dyDescent="0.25">
      <c r="A925" s="211" t="s">
        <v>117</v>
      </c>
      <c r="B925" s="211">
        <v>938</v>
      </c>
      <c r="C925" s="211" t="s">
        <v>478</v>
      </c>
      <c r="D925" s="211">
        <v>191967982</v>
      </c>
      <c r="E925" s="211">
        <v>1060</v>
      </c>
      <c r="F925" s="211">
        <v>1242</v>
      </c>
      <c r="G925" s="211">
        <v>1004</v>
      </c>
      <c r="I925" s="211" t="s">
        <v>3795</v>
      </c>
      <c r="J925" s="212" t="s">
        <v>638</v>
      </c>
      <c r="K925" s="211" t="s">
        <v>524</v>
      </c>
      <c r="L925" s="211" t="s">
        <v>3836</v>
      </c>
      <c r="AD925" s="213"/>
    </row>
    <row r="926" spans="1:30" s="211" customFormat="1" x14ac:dyDescent="0.25">
      <c r="A926" s="211" t="s">
        <v>117</v>
      </c>
      <c r="B926" s="211">
        <v>938</v>
      </c>
      <c r="C926" s="211" t="s">
        <v>478</v>
      </c>
      <c r="D926" s="211">
        <v>191982335</v>
      </c>
      <c r="E926" s="211">
        <v>1060</v>
      </c>
      <c r="G926" s="211">
        <v>1004</v>
      </c>
      <c r="I926" s="211" t="s">
        <v>1371</v>
      </c>
      <c r="J926" s="212" t="s">
        <v>638</v>
      </c>
      <c r="K926" s="211" t="s">
        <v>524</v>
      </c>
      <c r="L926" s="211" t="s">
        <v>1414</v>
      </c>
      <c r="AD926" s="213"/>
    </row>
    <row r="927" spans="1:30" s="211" customFormat="1" x14ac:dyDescent="0.25">
      <c r="A927" s="211" t="s">
        <v>117</v>
      </c>
      <c r="B927" s="211">
        <v>938</v>
      </c>
      <c r="C927" s="211" t="s">
        <v>478</v>
      </c>
      <c r="D927" s="211">
        <v>191998662</v>
      </c>
      <c r="E927" s="211">
        <v>1080</v>
      </c>
      <c r="F927" s="211">
        <v>1271</v>
      </c>
      <c r="G927" s="211">
        <v>1004</v>
      </c>
      <c r="I927" s="211" t="s">
        <v>2557</v>
      </c>
      <c r="J927" s="212" t="s">
        <v>638</v>
      </c>
      <c r="K927" s="211" t="s">
        <v>524</v>
      </c>
      <c r="L927" s="211" t="s">
        <v>2570</v>
      </c>
      <c r="AD927" s="213"/>
    </row>
    <row r="928" spans="1:30" s="211" customFormat="1" x14ac:dyDescent="0.25">
      <c r="A928" s="211" t="s">
        <v>117</v>
      </c>
      <c r="B928" s="211">
        <v>938</v>
      </c>
      <c r="C928" s="211" t="s">
        <v>478</v>
      </c>
      <c r="D928" s="211">
        <v>192002504</v>
      </c>
      <c r="E928" s="211">
        <v>1080</v>
      </c>
      <c r="F928" s="211">
        <v>1252</v>
      </c>
      <c r="G928" s="211">
        <v>1004</v>
      </c>
      <c r="I928" s="211" t="s">
        <v>2114</v>
      </c>
      <c r="J928" s="212" t="s">
        <v>638</v>
      </c>
      <c r="K928" s="211" t="s">
        <v>524</v>
      </c>
      <c r="L928" s="211" t="s">
        <v>2116</v>
      </c>
      <c r="AD928" s="213"/>
    </row>
    <row r="929" spans="1:30" s="211" customFormat="1" x14ac:dyDescent="0.25">
      <c r="A929" s="211" t="s">
        <v>117</v>
      </c>
      <c r="B929" s="211">
        <v>938</v>
      </c>
      <c r="C929" s="211" t="s">
        <v>478</v>
      </c>
      <c r="D929" s="211">
        <v>192014309</v>
      </c>
      <c r="E929" s="211">
        <v>1060</v>
      </c>
      <c r="F929" s="211">
        <v>1274</v>
      </c>
      <c r="G929" s="211">
        <v>1004</v>
      </c>
      <c r="I929" s="211" t="s">
        <v>1775</v>
      </c>
      <c r="J929" s="212" t="s">
        <v>638</v>
      </c>
      <c r="K929" s="211" t="s">
        <v>524</v>
      </c>
      <c r="L929" s="211" t="s">
        <v>1779</v>
      </c>
      <c r="AD929" s="213"/>
    </row>
    <row r="930" spans="1:30" s="211" customFormat="1" x14ac:dyDescent="0.25">
      <c r="A930" s="211" t="s">
        <v>117</v>
      </c>
      <c r="B930" s="211">
        <v>938</v>
      </c>
      <c r="C930" s="211" t="s">
        <v>478</v>
      </c>
      <c r="D930" s="211">
        <v>192034193</v>
      </c>
      <c r="E930" s="211">
        <v>1060</v>
      </c>
      <c r="F930" s="211">
        <v>1274</v>
      </c>
      <c r="G930" s="211">
        <v>1004</v>
      </c>
      <c r="I930" s="211" t="s">
        <v>2558</v>
      </c>
      <c r="J930" s="212" t="s">
        <v>638</v>
      </c>
      <c r="K930" s="211" t="s">
        <v>639</v>
      </c>
      <c r="L930" s="211" t="s">
        <v>2574</v>
      </c>
      <c r="AD930" s="213"/>
    </row>
    <row r="931" spans="1:30" s="211" customFormat="1" x14ac:dyDescent="0.25">
      <c r="A931" s="211" t="s">
        <v>117</v>
      </c>
      <c r="B931" s="211">
        <v>938</v>
      </c>
      <c r="C931" s="211" t="s">
        <v>478</v>
      </c>
      <c r="D931" s="211">
        <v>192038988</v>
      </c>
      <c r="E931" s="211">
        <v>1080</v>
      </c>
      <c r="F931" s="211">
        <v>1274</v>
      </c>
      <c r="G931" s="211">
        <v>1004</v>
      </c>
      <c r="I931" s="211" t="s">
        <v>3162</v>
      </c>
      <c r="J931" s="212" t="s">
        <v>638</v>
      </c>
      <c r="K931" s="211" t="s">
        <v>524</v>
      </c>
      <c r="L931" s="211" t="s">
        <v>3188</v>
      </c>
      <c r="AD931" s="213"/>
    </row>
    <row r="932" spans="1:30" s="211" customFormat="1" x14ac:dyDescent="0.25">
      <c r="A932" s="211" t="s">
        <v>117</v>
      </c>
      <c r="B932" s="211">
        <v>939</v>
      </c>
      <c r="C932" s="211" t="s">
        <v>479</v>
      </c>
      <c r="D932" s="211">
        <v>1430702</v>
      </c>
      <c r="E932" s="211">
        <v>1040</v>
      </c>
      <c r="G932" s="211">
        <v>1004</v>
      </c>
      <c r="I932" s="211" t="s">
        <v>2518</v>
      </c>
      <c r="J932" s="212" t="s">
        <v>638</v>
      </c>
      <c r="K932" s="211" t="s">
        <v>639</v>
      </c>
      <c r="L932" s="211" t="s">
        <v>2545</v>
      </c>
      <c r="AD932" s="213"/>
    </row>
    <row r="933" spans="1:30" s="211" customFormat="1" x14ac:dyDescent="0.25">
      <c r="A933" s="211" t="s">
        <v>117</v>
      </c>
      <c r="B933" s="211">
        <v>939</v>
      </c>
      <c r="C933" s="211" t="s">
        <v>479</v>
      </c>
      <c r="D933" s="211">
        <v>1431231</v>
      </c>
      <c r="E933" s="211">
        <v>1020</v>
      </c>
      <c r="F933" s="211">
        <v>1110</v>
      </c>
      <c r="G933" s="211">
        <v>1004</v>
      </c>
      <c r="I933" s="211" t="s">
        <v>2219</v>
      </c>
      <c r="J933" s="212" t="s">
        <v>638</v>
      </c>
      <c r="K933" s="211" t="s">
        <v>639</v>
      </c>
      <c r="L933" s="211" t="s">
        <v>2223</v>
      </c>
      <c r="AD933" s="213"/>
    </row>
    <row r="934" spans="1:30" s="211" customFormat="1" x14ac:dyDescent="0.25">
      <c r="A934" s="211" t="s">
        <v>117</v>
      </c>
      <c r="B934" s="211">
        <v>939</v>
      </c>
      <c r="C934" s="211" t="s">
        <v>479</v>
      </c>
      <c r="D934" s="211">
        <v>190583548</v>
      </c>
      <c r="E934" s="211">
        <v>1080</v>
      </c>
      <c r="F934" s="211">
        <v>1242</v>
      </c>
      <c r="G934" s="211">
        <v>1004</v>
      </c>
      <c r="I934" s="211" t="s">
        <v>732</v>
      </c>
      <c r="J934" s="212" t="s">
        <v>638</v>
      </c>
      <c r="K934" s="211" t="s">
        <v>524</v>
      </c>
      <c r="L934" s="211" t="s">
        <v>898</v>
      </c>
      <c r="AD934" s="213"/>
    </row>
    <row r="935" spans="1:30" s="211" customFormat="1" x14ac:dyDescent="0.25">
      <c r="A935" s="211" t="s">
        <v>117</v>
      </c>
      <c r="B935" s="211">
        <v>939</v>
      </c>
      <c r="C935" s="211" t="s">
        <v>479</v>
      </c>
      <c r="D935" s="211">
        <v>190587148</v>
      </c>
      <c r="E935" s="211">
        <v>1080</v>
      </c>
      <c r="F935" s="211">
        <v>1242</v>
      </c>
      <c r="G935" s="211">
        <v>1004</v>
      </c>
      <c r="I935" s="211" t="s">
        <v>733</v>
      </c>
      <c r="J935" s="212" t="s">
        <v>638</v>
      </c>
      <c r="K935" s="211" t="s">
        <v>524</v>
      </c>
      <c r="L935" s="211" t="s">
        <v>899</v>
      </c>
      <c r="AD935" s="213"/>
    </row>
    <row r="936" spans="1:30" s="211" customFormat="1" x14ac:dyDescent="0.25">
      <c r="A936" s="211" t="s">
        <v>117</v>
      </c>
      <c r="B936" s="211">
        <v>939</v>
      </c>
      <c r="C936" s="211" t="s">
        <v>479</v>
      </c>
      <c r="D936" s="211">
        <v>190592228</v>
      </c>
      <c r="E936" s="211">
        <v>1080</v>
      </c>
      <c r="F936" s="211">
        <v>1242</v>
      </c>
      <c r="G936" s="211">
        <v>1004</v>
      </c>
      <c r="I936" s="211" t="s">
        <v>734</v>
      </c>
      <c r="J936" s="212" t="s">
        <v>638</v>
      </c>
      <c r="K936" s="211" t="s">
        <v>524</v>
      </c>
      <c r="L936" s="211" t="s">
        <v>900</v>
      </c>
      <c r="AD936" s="213"/>
    </row>
    <row r="937" spans="1:30" s="211" customFormat="1" x14ac:dyDescent="0.25">
      <c r="A937" s="211" t="s">
        <v>117</v>
      </c>
      <c r="B937" s="211">
        <v>939</v>
      </c>
      <c r="C937" s="211" t="s">
        <v>479</v>
      </c>
      <c r="D937" s="211">
        <v>190622768</v>
      </c>
      <c r="E937" s="211">
        <v>1060</v>
      </c>
      <c r="F937" s="211">
        <v>1274</v>
      </c>
      <c r="G937" s="211">
        <v>1004</v>
      </c>
      <c r="I937" s="211" t="s">
        <v>735</v>
      </c>
      <c r="J937" s="212" t="s">
        <v>638</v>
      </c>
      <c r="K937" s="211" t="s">
        <v>524</v>
      </c>
      <c r="L937" s="211" t="s">
        <v>901</v>
      </c>
      <c r="AD937" s="213"/>
    </row>
    <row r="938" spans="1:30" s="211" customFormat="1" x14ac:dyDescent="0.25">
      <c r="A938" s="211" t="s">
        <v>117</v>
      </c>
      <c r="B938" s="211">
        <v>939</v>
      </c>
      <c r="C938" s="211" t="s">
        <v>479</v>
      </c>
      <c r="D938" s="211">
        <v>191413671</v>
      </c>
      <c r="E938" s="211">
        <v>1060</v>
      </c>
      <c r="F938" s="211">
        <v>1274</v>
      </c>
      <c r="G938" s="211">
        <v>1004</v>
      </c>
      <c r="I938" s="211" t="s">
        <v>736</v>
      </c>
      <c r="J938" s="212" t="s">
        <v>638</v>
      </c>
      <c r="K938" s="211" t="s">
        <v>524</v>
      </c>
      <c r="L938" s="211" t="s">
        <v>902</v>
      </c>
      <c r="AD938" s="213"/>
    </row>
    <row r="939" spans="1:30" s="211" customFormat="1" x14ac:dyDescent="0.25">
      <c r="A939" s="211" t="s">
        <v>117</v>
      </c>
      <c r="B939" s="211">
        <v>939</v>
      </c>
      <c r="C939" s="211" t="s">
        <v>479</v>
      </c>
      <c r="D939" s="211">
        <v>191904322</v>
      </c>
      <c r="E939" s="211">
        <v>1060</v>
      </c>
      <c r="G939" s="211">
        <v>1004</v>
      </c>
      <c r="I939" s="211" t="s">
        <v>737</v>
      </c>
      <c r="J939" s="212" t="s">
        <v>638</v>
      </c>
      <c r="K939" s="211" t="s">
        <v>639</v>
      </c>
      <c r="L939" s="211" t="s">
        <v>2575</v>
      </c>
      <c r="AD939" s="213"/>
    </row>
    <row r="940" spans="1:30" s="211" customFormat="1" x14ac:dyDescent="0.25">
      <c r="A940" s="211" t="s">
        <v>117</v>
      </c>
      <c r="B940" s="211">
        <v>939</v>
      </c>
      <c r="C940" s="211" t="s">
        <v>479</v>
      </c>
      <c r="D940" s="211">
        <v>191918347</v>
      </c>
      <c r="E940" s="211">
        <v>1060</v>
      </c>
      <c r="F940" s="211">
        <v>1274</v>
      </c>
      <c r="G940" s="211">
        <v>1004</v>
      </c>
      <c r="I940" s="211" t="s">
        <v>2559</v>
      </c>
      <c r="J940" s="212" t="s">
        <v>638</v>
      </c>
      <c r="K940" s="211" t="s">
        <v>639</v>
      </c>
      <c r="L940" s="211" t="s">
        <v>2576</v>
      </c>
      <c r="AD940" s="213"/>
    </row>
    <row r="941" spans="1:30" s="211" customFormat="1" x14ac:dyDescent="0.25">
      <c r="A941" s="211" t="s">
        <v>117</v>
      </c>
      <c r="B941" s="211">
        <v>939</v>
      </c>
      <c r="C941" s="211" t="s">
        <v>479</v>
      </c>
      <c r="D941" s="211">
        <v>191958904</v>
      </c>
      <c r="E941" s="211">
        <v>1060</v>
      </c>
      <c r="F941" s="211">
        <v>1274</v>
      </c>
      <c r="G941" s="211">
        <v>1004</v>
      </c>
      <c r="I941" s="211" t="s">
        <v>2931</v>
      </c>
      <c r="J941" s="212" t="s">
        <v>638</v>
      </c>
      <c r="K941" s="211" t="s">
        <v>524</v>
      </c>
      <c r="L941" s="211" t="s">
        <v>2938</v>
      </c>
      <c r="AD941" s="213"/>
    </row>
    <row r="942" spans="1:30" s="211" customFormat="1" x14ac:dyDescent="0.25">
      <c r="A942" s="211" t="s">
        <v>117</v>
      </c>
      <c r="B942" s="211">
        <v>939</v>
      </c>
      <c r="C942" s="211" t="s">
        <v>479</v>
      </c>
      <c r="D942" s="211">
        <v>191979518</v>
      </c>
      <c r="E942" s="211">
        <v>1060</v>
      </c>
      <c r="F942" s="211">
        <v>1242</v>
      </c>
      <c r="G942" s="211">
        <v>1004</v>
      </c>
      <c r="I942" s="211" t="s">
        <v>2996</v>
      </c>
      <c r="J942" s="212" t="s">
        <v>638</v>
      </c>
      <c r="K942" s="211" t="s">
        <v>524</v>
      </c>
      <c r="L942" s="211" t="s">
        <v>3005</v>
      </c>
      <c r="AD942" s="213"/>
    </row>
    <row r="943" spans="1:30" s="211" customFormat="1" x14ac:dyDescent="0.25">
      <c r="A943" s="211" t="s">
        <v>117</v>
      </c>
      <c r="B943" s="211">
        <v>939</v>
      </c>
      <c r="C943" s="211" t="s">
        <v>479</v>
      </c>
      <c r="D943" s="211">
        <v>502101618</v>
      </c>
      <c r="E943" s="211">
        <v>1060</v>
      </c>
      <c r="F943" s="211">
        <v>1271</v>
      </c>
      <c r="G943" s="211">
        <v>1004</v>
      </c>
      <c r="I943" s="211" t="s">
        <v>3796</v>
      </c>
      <c r="J943" s="212" t="s">
        <v>638</v>
      </c>
      <c r="K943" s="211" t="s">
        <v>639</v>
      </c>
      <c r="L943" s="211" t="s">
        <v>3846</v>
      </c>
      <c r="AD943" s="213"/>
    </row>
    <row r="944" spans="1:30" s="211" customFormat="1" x14ac:dyDescent="0.25">
      <c r="A944" s="211" t="s">
        <v>117</v>
      </c>
      <c r="B944" s="211">
        <v>939</v>
      </c>
      <c r="C944" s="211" t="s">
        <v>479</v>
      </c>
      <c r="D944" s="211">
        <v>502101619</v>
      </c>
      <c r="E944" s="211">
        <v>1060</v>
      </c>
      <c r="F944" s="211">
        <v>1271</v>
      </c>
      <c r="G944" s="211">
        <v>1004</v>
      </c>
      <c r="I944" s="211" t="s">
        <v>3797</v>
      </c>
      <c r="J944" s="212" t="s">
        <v>638</v>
      </c>
      <c r="K944" s="211" t="s">
        <v>639</v>
      </c>
      <c r="L944" s="211" t="s">
        <v>3846</v>
      </c>
      <c r="AD944" s="213"/>
    </row>
    <row r="945" spans="1:30" s="211" customFormat="1" x14ac:dyDescent="0.25">
      <c r="A945" s="211" t="s">
        <v>117</v>
      </c>
      <c r="B945" s="211">
        <v>939</v>
      </c>
      <c r="C945" s="211" t="s">
        <v>479</v>
      </c>
      <c r="D945" s="211">
        <v>502101620</v>
      </c>
      <c r="E945" s="211">
        <v>1060</v>
      </c>
      <c r="F945" s="211">
        <v>1252</v>
      </c>
      <c r="G945" s="211">
        <v>1004</v>
      </c>
      <c r="I945" s="211" t="s">
        <v>3798</v>
      </c>
      <c r="J945" s="212" t="s">
        <v>638</v>
      </c>
      <c r="K945" s="211" t="s">
        <v>524</v>
      </c>
      <c r="L945" s="211" t="s">
        <v>3837</v>
      </c>
      <c r="AD945" s="213"/>
    </row>
    <row r="946" spans="1:30" s="211" customFormat="1" x14ac:dyDescent="0.25">
      <c r="A946" s="211" t="s">
        <v>117</v>
      </c>
      <c r="B946" s="211">
        <v>939</v>
      </c>
      <c r="C946" s="211" t="s">
        <v>479</v>
      </c>
      <c r="D946" s="211">
        <v>502101975</v>
      </c>
      <c r="E946" s="211">
        <v>1060</v>
      </c>
      <c r="G946" s="211">
        <v>1004</v>
      </c>
      <c r="I946" s="211" t="s">
        <v>3624</v>
      </c>
      <c r="J946" s="212" t="s">
        <v>638</v>
      </c>
      <c r="K946" s="211" t="s">
        <v>524</v>
      </c>
      <c r="L946" s="211" t="s">
        <v>3701</v>
      </c>
      <c r="AD946" s="213"/>
    </row>
    <row r="947" spans="1:30" s="211" customFormat="1" x14ac:dyDescent="0.25">
      <c r="A947" s="211" t="s">
        <v>117</v>
      </c>
      <c r="B947" s="211">
        <v>939</v>
      </c>
      <c r="C947" s="211" t="s">
        <v>479</v>
      </c>
      <c r="D947" s="211">
        <v>502101976</v>
      </c>
      <c r="E947" s="211">
        <v>1060</v>
      </c>
      <c r="G947" s="211">
        <v>1004</v>
      </c>
      <c r="I947" s="211" t="s">
        <v>3625</v>
      </c>
      <c r="J947" s="212" t="s">
        <v>638</v>
      </c>
      <c r="K947" s="211" t="s">
        <v>524</v>
      </c>
      <c r="L947" s="211" t="s">
        <v>3702</v>
      </c>
      <c r="AD947" s="213"/>
    </row>
    <row r="948" spans="1:30" s="211" customFormat="1" x14ac:dyDescent="0.25">
      <c r="A948" s="211" t="s">
        <v>117</v>
      </c>
      <c r="B948" s="211">
        <v>939</v>
      </c>
      <c r="C948" s="211" t="s">
        <v>479</v>
      </c>
      <c r="D948" s="211">
        <v>502102649</v>
      </c>
      <c r="E948" s="211">
        <v>1060</v>
      </c>
      <c r="F948" s="211">
        <v>1242</v>
      </c>
      <c r="G948" s="211">
        <v>1004</v>
      </c>
      <c r="I948" s="211" t="s">
        <v>2757</v>
      </c>
      <c r="J948" s="212" t="s">
        <v>638</v>
      </c>
      <c r="K948" s="211" t="s">
        <v>639</v>
      </c>
      <c r="L948" s="211" t="s">
        <v>2784</v>
      </c>
      <c r="AD948" s="213"/>
    </row>
    <row r="949" spans="1:30" s="211" customFormat="1" x14ac:dyDescent="0.25">
      <c r="A949" s="211" t="s">
        <v>117</v>
      </c>
      <c r="B949" s="211">
        <v>939</v>
      </c>
      <c r="C949" s="211" t="s">
        <v>479</v>
      </c>
      <c r="D949" s="211">
        <v>502102813</v>
      </c>
      <c r="E949" s="211">
        <v>1060</v>
      </c>
      <c r="G949" s="211">
        <v>1004</v>
      </c>
      <c r="I949" s="211" t="s">
        <v>2800</v>
      </c>
      <c r="J949" s="212" t="s">
        <v>638</v>
      </c>
      <c r="K949" s="211" t="s">
        <v>524</v>
      </c>
      <c r="L949" s="211" t="s">
        <v>2835</v>
      </c>
      <c r="AD949" s="213"/>
    </row>
    <row r="950" spans="1:30" s="211" customFormat="1" x14ac:dyDescent="0.25">
      <c r="A950" s="211" t="s">
        <v>117</v>
      </c>
      <c r="B950" s="211">
        <v>939</v>
      </c>
      <c r="C950" s="211" t="s">
        <v>479</v>
      </c>
      <c r="D950" s="211">
        <v>502103052</v>
      </c>
      <c r="E950" s="211">
        <v>1060</v>
      </c>
      <c r="F950" s="211">
        <v>1271</v>
      </c>
      <c r="G950" s="211">
        <v>1004</v>
      </c>
      <c r="I950" s="211" t="s">
        <v>3048</v>
      </c>
      <c r="J950" s="212" t="s">
        <v>638</v>
      </c>
      <c r="K950" s="211" t="s">
        <v>524</v>
      </c>
      <c r="L950" s="211" t="s">
        <v>3128</v>
      </c>
      <c r="AD950" s="213"/>
    </row>
    <row r="951" spans="1:30" s="211" customFormat="1" x14ac:dyDescent="0.25">
      <c r="A951" s="211" t="s">
        <v>117</v>
      </c>
      <c r="B951" s="211">
        <v>939</v>
      </c>
      <c r="C951" s="211" t="s">
        <v>479</v>
      </c>
      <c r="D951" s="211">
        <v>502103053</v>
      </c>
      <c r="E951" s="211">
        <v>1060</v>
      </c>
      <c r="F951" s="211">
        <v>1271</v>
      </c>
      <c r="G951" s="211">
        <v>1004</v>
      </c>
      <c r="I951" s="211" t="s">
        <v>3049</v>
      </c>
      <c r="J951" s="212" t="s">
        <v>638</v>
      </c>
      <c r="K951" s="211" t="s">
        <v>524</v>
      </c>
      <c r="L951" s="211" t="s">
        <v>3129</v>
      </c>
      <c r="AD951" s="213"/>
    </row>
    <row r="952" spans="1:30" s="211" customFormat="1" x14ac:dyDescent="0.25">
      <c r="A952" s="211" t="s">
        <v>117</v>
      </c>
      <c r="B952" s="211">
        <v>939</v>
      </c>
      <c r="C952" s="211" t="s">
        <v>479</v>
      </c>
      <c r="D952" s="211">
        <v>502103054</v>
      </c>
      <c r="E952" s="211">
        <v>1060</v>
      </c>
      <c r="G952" s="211">
        <v>1004</v>
      </c>
      <c r="I952" s="211" t="s">
        <v>3050</v>
      </c>
      <c r="J952" s="212" t="s">
        <v>638</v>
      </c>
      <c r="K952" s="211" t="s">
        <v>524</v>
      </c>
      <c r="L952" s="211" t="s">
        <v>3130</v>
      </c>
      <c r="AD952" s="213"/>
    </row>
    <row r="953" spans="1:30" s="211" customFormat="1" x14ac:dyDescent="0.25">
      <c r="A953" s="211" t="s">
        <v>117</v>
      </c>
      <c r="B953" s="211">
        <v>939</v>
      </c>
      <c r="C953" s="211" t="s">
        <v>479</v>
      </c>
      <c r="D953" s="211">
        <v>502103056</v>
      </c>
      <c r="E953" s="211">
        <v>1060</v>
      </c>
      <c r="F953" s="211">
        <v>1274</v>
      </c>
      <c r="G953" s="211">
        <v>1004</v>
      </c>
      <c r="I953" s="211" t="s">
        <v>3051</v>
      </c>
      <c r="J953" s="212" t="s">
        <v>638</v>
      </c>
      <c r="K953" s="211" t="s">
        <v>524</v>
      </c>
      <c r="L953" s="211" t="s">
        <v>3131</v>
      </c>
      <c r="AD953" s="213"/>
    </row>
    <row r="954" spans="1:30" s="211" customFormat="1" x14ac:dyDescent="0.25">
      <c r="A954" s="211" t="s">
        <v>117</v>
      </c>
      <c r="B954" s="211">
        <v>941</v>
      </c>
      <c r="C954" s="211" t="s">
        <v>481</v>
      </c>
      <c r="D954" s="211">
        <v>191901873</v>
      </c>
      <c r="E954" s="211">
        <v>1060</v>
      </c>
      <c r="F954" s="211">
        <v>1242</v>
      </c>
      <c r="G954" s="211">
        <v>1004</v>
      </c>
      <c r="I954" s="211" t="s">
        <v>2899</v>
      </c>
      <c r="J954" s="212" t="s">
        <v>638</v>
      </c>
      <c r="K954" s="211" t="s">
        <v>524</v>
      </c>
      <c r="L954" s="211" t="s">
        <v>2920</v>
      </c>
      <c r="AD954" s="213"/>
    </row>
    <row r="955" spans="1:30" s="211" customFormat="1" x14ac:dyDescent="0.25">
      <c r="A955" s="211" t="s">
        <v>117</v>
      </c>
      <c r="B955" s="211">
        <v>941</v>
      </c>
      <c r="C955" s="211" t="s">
        <v>481</v>
      </c>
      <c r="D955" s="211">
        <v>191965437</v>
      </c>
      <c r="E955" s="211">
        <v>1060</v>
      </c>
      <c r="F955" s="211">
        <v>1274</v>
      </c>
      <c r="G955" s="211">
        <v>1004</v>
      </c>
      <c r="I955" s="211" t="s">
        <v>2679</v>
      </c>
      <c r="J955" s="212" t="s">
        <v>638</v>
      </c>
      <c r="K955" s="211" t="s">
        <v>524</v>
      </c>
      <c r="L955" s="211" t="s">
        <v>2699</v>
      </c>
      <c r="AD955" s="213"/>
    </row>
    <row r="956" spans="1:30" s="211" customFormat="1" x14ac:dyDescent="0.25">
      <c r="A956" s="211" t="s">
        <v>117</v>
      </c>
      <c r="B956" s="211">
        <v>941</v>
      </c>
      <c r="C956" s="211" t="s">
        <v>481</v>
      </c>
      <c r="D956" s="211">
        <v>191991526</v>
      </c>
      <c r="E956" s="211">
        <v>1060</v>
      </c>
      <c r="F956" s="211">
        <v>1274</v>
      </c>
      <c r="G956" s="211">
        <v>1004</v>
      </c>
      <c r="I956" s="211" t="s">
        <v>2680</v>
      </c>
      <c r="J956" s="212" t="s">
        <v>638</v>
      </c>
      <c r="K956" s="211" t="s">
        <v>524</v>
      </c>
      <c r="L956" s="211" t="s">
        <v>2700</v>
      </c>
      <c r="AD956" s="213"/>
    </row>
    <row r="957" spans="1:30" s="211" customFormat="1" x14ac:dyDescent="0.25">
      <c r="A957" s="211" t="s">
        <v>117</v>
      </c>
      <c r="B957" s="211">
        <v>942</v>
      </c>
      <c r="C957" s="211" t="s">
        <v>482</v>
      </c>
      <c r="D957" s="211">
        <v>1435883</v>
      </c>
      <c r="E957" s="211">
        <v>1020</v>
      </c>
      <c r="F957" s="211">
        <v>1121</v>
      </c>
      <c r="G957" s="211">
        <v>1004</v>
      </c>
      <c r="I957" s="211" t="s">
        <v>3299</v>
      </c>
      <c r="J957" s="212" t="s">
        <v>638</v>
      </c>
      <c r="K957" s="211" t="s">
        <v>639</v>
      </c>
      <c r="L957" s="211" t="s">
        <v>3358</v>
      </c>
      <c r="AD957" s="213"/>
    </row>
    <row r="958" spans="1:30" s="211" customFormat="1" x14ac:dyDescent="0.25">
      <c r="A958" s="211" t="s">
        <v>117</v>
      </c>
      <c r="B958" s="211">
        <v>942</v>
      </c>
      <c r="C958" s="211" t="s">
        <v>482</v>
      </c>
      <c r="D958" s="211">
        <v>191957910</v>
      </c>
      <c r="E958" s="211">
        <v>1060</v>
      </c>
      <c r="F958" s="211">
        <v>1274</v>
      </c>
      <c r="G958" s="211">
        <v>1004</v>
      </c>
      <c r="I958" s="211" t="s">
        <v>1560</v>
      </c>
      <c r="J958" s="212" t="s">
        <v>638</v>
      </c>
      <c r="K958" s="211" t="s">
        <v>524</v>
      </c>
      <c r="L958" s="211" t="s">
        <v>1573</v>
      </c>
      <c r="AD958" s="213"/>
    </row>
    <row r="959" spans="1:30" s="211" customFormat="1" x14ac:dyDescent="0.25">
      <c r="A959" s="211" t="s">
        <v>117</v>
      </c>
      <c r="B959" s="211">
        <v>942</v>
      </c>
      <c r="C959" s="211" t="s">
        <v>482</v>
      </c>
      <c r="D959" s="211">
        <v>191967182</v>
      </c>
      <c r="E959" s="211">
        <v>1060</v>
      </c>
      <c r="F959" s="211">
        <v>1274</v>
      </c>
      <c r="G959" s="211">
        <v>1004</v>
      </c>
      <c r="I959" s="211" t="s">
        <v>1878</v>
      </c>
      <c r="J959" s="212" t="s">
        <v>638</v>
      </c>
      <c r="K959" s="211" t="s">
        <v>524</v>
      </c>
      <c r="L959" s="211" t="s">
        <v>1914</v>
      </c>
      <c r="AD959" s="213"/>
    </row>
    <row r="960" spans="1:30" s="211" customFormat="1" x14ac:dyDescent="0.25">
      <c r="A960" s="211" t="s">
        <v>117</v>
      </c>
      <c r="B960" s="211">
        <v>942</v>
      </c>
      <c r="C960" s="211" t="s">
        <v>482</v>
      </c>
      <c r="D960" s="211">
        <v>191984097</v>
      </c>
      <c r="E960" s="211">
        <v>1060</v>
      </c>
      <c r="F960" s="211">
        <v>1274</v>
      </c>
      <c r="G960" s="211">
        <v>1004</v>
      </c>
      <c r="I960" s="211" t="s">
        <v>941</v>
      </c>
      <c r="J960" s="212" t="s">
        <v>638</v>
      </c>
      <c r="K960" s="211" t="s">
        <v>524</v>
      </c>
      <c r="L960" s="211" t="s">
        <v>943</v>
      </c>
      <c r="AD960" s="213"/>
    </row>
    <row r="961" spans="1:30" s="211" customFormat="1" x14ac:dyDescent="0.25">
      <c r="A961" s="211" t="s">
        <v>117</v>
      </c>
      <c r="B961" s="211">
        <v>942</v>
      </c>
      <c r="C961" s="211" t="s">
        <v>482</v>
      </c>
      <c r="D961" s="211">
        <v>191997439</v>
      </c>
      <c r="E961" s="211">
        <v>1060</v>
      </c>
      <c r="F961" s="211">
        <v>1251</v>
      </c>
      <c r="G961" s="211">
        <v>1004</v>
      </c>
      <c r="I961" s="211" t="s">
        <v>1372</v>
      </c>
      <c r="J961" s="212" t="s">
        <v>638</v>
      </c>
      <c r="K961" s="211" t="s">
        <v>639</v>
      </c>
      <c r="L961" s="211" t="s">
        <v>1429</v>
      </c>
      <c r="AD961" s="213"/>
    </row>
    <row r="962" spans="1:30" s="211" customFormat="1" x14ac:dyDescent="0.25">
      <c r="A962" s="211" t="s">
        <v>117</v>
      </c>
      <c r="B962" s="211">
        <v>942</v>
      </c>
      <c r="C962" s="211" t="s">
        <v>482</v>
      </c>
      <c r="D962" s="211">
        <v>192000140</v>
      </c>
      <c r="E962" s="211">
        <v>1060</v>
      </c>
      <c r="F962" s="211">
        <v>1274</v>
      </c>
      <c r="G962" s="211">
        <v>1004</v>
      </c>
      <c r="I962" s="211" t="s">
        <v>2377</v>
      </c>
      <c r="J962" s="212" t="s">
        <v>638</v>
      </c>
      <c r="K962" s="211" t="s">
        <v>524</v>
      </c>
      <c r="L962" s="211" t="s">
        <v>2385</v>
      </c>
      <c r="AD962" s="213"/>
    </row>
    <row r="963" spans="1:30" s="211" customFormat="1" x14ac:dyDescent="0.25">
      <c r="A963" s="211" t="s">
        <v>117</v>
      </c>
      <c r="B963" s="211">
        <v>942</v>
      </c>
      <c r="C963" s="211" t="s">
        <v>482</v>
      </c>
      <c r="D963" s="211">
        <v>192000141</v>
      </c>
      <c r="E963" s="211">
        <v>1060</v>
      </c>
      <c r="F963" s="211">
        <v>1274</v>
      </c>
      <c r="G963" s="211">
        <v>1004</v>
      </c>
      <c r="I963" s="211" t="s">
        <v>2378</v>
      </c>
      <c r="J963" s="212" t="s">
        <v>638</v>
      </c>
      <c r="K963" s="211" t="s">
        <v>524</v>
      </c>
      <c r="L963" s="211" t="s">
        <v>2386</v>
      </c>
      <c r="AD963" s="213"/>
    </row>
    <row r="964" spans="1:30" s="211" customFormat="1" x14ac:dyDescent="0.25">
      <c r="A964" s="211" t="s">
        <v>117</v>
      </c>
      <c r="B964" s="211">
        <v>942</v>
      </c>
      <c r="C964" s="211" t="s">
        <v>482</v>
      </c>
      <c r="D964" s="211">
        <v>192000142</v>
      </c>
      <c r="E964" s="211">
        <v>1060</v>
      </c>
      <c r="F964" s="211">
        <v>1274</v>
      </c>
      <c r="G964" s="211">
        <v>1004</v>
      </c>
      <c r="I964" s="211" t="s">
        <v>2379</v>
      </c>
      <c r="J964" s="212" t="s">
        <v>638</v>
      </c>
      <c r="K964" s="211" t="s">
        <v>524</v>
      </c>
      <c r="L964" s="211" t="s">
        <v>2387</v>
      </c>
      <c r="AD964" s="213"/>
    </row>
    <row r="965" spans="1:30" s="211" customFormat="1" x14ac:dyDescent="0.25">
      <c r="A965" s="211" t="s">
        <v>117</v>
      </c>
      <c r="B965" s="211">
        <v>942</v>
      </c>
      <c r="C965" s="211" t="s">
        <v>482</v>
      </c>
      <c r="D965" s="211">
        <v>192005283</v>
      </c>
      <c r="E965" s="211">
        <v>1020</v>
      </c>
      <c r="F965" s="211">
        <v>1122</v>
      </c>
      <c r="G965" s="211">
        <v>1004</v>
      </c>
      <c r="I965" s="211" t="s">
        <v>3242</v>
      </c>
      <c r="J965" s="212" t="s">
        <v>638</v>
      </c>
      <c r="K965" s="211" t="s">
        <v>524</v>
      </c>
      <c r="L965" s="211" t="s">
        <v>3256</v>
      </c>
      <c r="AD965" s="213"/>
    </row>
    <row r="966" spans="1:30" s="211" customFormat="1" x14ac:dyDescent="0.25">
      <c r="A966" s="211" t="s">
        <v>117</v>
      </c>
      <c r="B966" s="211">
        <v>942</v>
      </c>
      <c r="C966" s="211" t="s">
        <v>482</v>
      </c>
      <c r="D966" s="211">
        <v>192007953</v>
      </c>
      <c r="E966" s="211">
        <v>1020</v>
      </c>
      <c r="F966" s="211">
        <v>1110</v>
      </c>
      <c r="G966" s="211">
        <v>1004</v>
      </c>
      <c r="I966" s="211" t="s">
        <v>3163</v>
      </c>
      <c r="J966" s="212" t="s">
        <v>638</v>
      </c>
      <c r="K966" s="211" t="s">
        <v>524</v>
      </c>
      <c r="L966" s="211" t="s">
        <v>3189</v>
      </c>
      <c r="AD966" s="213"/>
    </row>
    <row r="967" spans="1:30" s="211" customFormat="1" x14ac:dyDescent="0.25">
      <c r="A967" s="211" t="s">
        <v>117</v>
      </c>
      <c r="B967" s="211">
        <v>942</v>
      </c>
      <c r="C967" s="211" t="s">
        <v>482</v>
      </c>
      <c r="D967" s="211">
        <v>400088439</v>
      </c>
      <c r="E967" s="211">
        <v>1080</v>
      </c>
      <c r="F967" s="211">
        <v>1242</v>
      </c>
      <c r="G967" s="211">
        <v>1004</v>
      </c>
      <c r="I967" s="211" t="s">
        <v>3052</v>
      </c>
      <c r="J967" s="212" t="s">
        <v>638</v>
      </c>
      <c r="K967" s="211" t="s">
        <v>524</v>
      </c>
      <c r="L967" s="211" t="s">
        <v>3132</v>
      </c>
      <c r="AD967" s="213"/>
    </row>
    <row r="968" spans="1:30" s="211" customFormat="1" x14ac:dyDescent="0.25">
      <c r="A968" s="211" t="s">
        <v>117</v>
      </c>
      <c r="B968" s="211">
        <v>942</v>
      </c>
      <c r="C968" s="211" t="s">
        <v>482</v>
      </c>
      <c r="D968" s="211">
        <v>400089328</v>
      </c>
      <c r="E968" s="211">
        <v>1060</v>
      </c>
      <c r="F968" s="211">
        <v>1242</v>
      </c>
      <c r="G968" s="211">
        <v>1004</v>
      </c>
      <c r="I968" s="211" t="s">
        <v>3799</v>
      </c>
      <c r="J968" s="212" t="s">
        <v>638</v>
      </c>
      <c r="K968" s="211" t="s">
        <v>639</v>
      </c>
      <c r="L968" s="211" t="s">
        <v>3847</v>
      </c>
      <c r="AD968" s="213"/>
    </row>
    <row r="969" spans="1:30" s="211" customFormat="1" x14ac:dyDescent="0.25">
      <c r="A969" s="211" t="s">
        <v>117</v>
      </c>
      <c r="B969" s="211">
        <v>942</v>
      </c>
      <c r="C969" s="211" t="s">
        <v>482</v>
      </c>
      <c r="D969" s="211">
        <v>502103419</v>
      </c>
      <c r="E969" s="211">
        <v>1080</v>
      </c>
      <c r="G969" s="211">
        <v>1004</v>
      </c>
      <c r="I969" s="211" t="s">
        <v>3300</v>
      </c>
      <c r="J969" s="212" t="s">
        <v>638</v>
      </c>
      <c r="K969" s="211" t="s">
        <v>524</v>
      </c>
      <c r="L969" s="211" t="s">
        <v>3346</v>
      </c>
      <c r="AD969" s="213"/>
    </row>
    <row r="970" spans="1:30" s="211" customFormat="1" x14ac:dyDescent="0.25">
      <c r="A970" s="211" t="s">
        <v>117</v>
      </c>
      <c r="B970" s="211">
        <v>942</v>
      </c>
      <c r="C970" s="211" t="s">
        <v>482</v>
      </c>
      <c r="D970" s="211">
        <v>502104458</v>
      </c>
      <c r="E970" s="211">
        <v>1060</v>
      </c>
      <c r="F970" s="211">
        <v>1242</v>
      </c>
      <c r="G970" s="211">
        <v>1004</v>
      </c>
      <c r="I970" s="211" t="s">
        <v>2801</v>
      </c>
      <c r="J970" s="212" t="s">
        <v>638</v>
      </c>
      <c r="K970" s="211" t="s">
        <v>524</v>
      </c>
      <c r="L970" s="211" t="s">
        <v>2836</v>
      </c>
      <c r="AD970" s="213"/>
    </row>
    <row r="971" spans="1:30" s="211" customFormat="1" x14ac:dyDescent="0.25">
      <c r="A971" s="211" t="s">
        <v>117</v>
      </c>
      <c r="B971" s="211">
        <v>942</v>
      </c>
      <c r="C971" s="211" t="s">
        <v>482</v>
      </c>
      <c r="D971" s="211">
        <v>502104459</v>
      </c>
      <c r="E971" s="211">
        <v>1060</v>
      </c>
      <c r="F971" s="211">
        <v>1242</v>
      </c>
      <c r="G971" s="211">
        <v>1004</v>
      </c>
      <c r="I971" s="211" t="s">
        <v>2802</v>
      </c>
      <c r="J971" s="212" t="s">
        <v>638</v>
      </c>
      <c r="K971" s="211" t="s">
        <v>524</v>
      </c>
      <c r="L971" s="211" t="s">
        <v>2837</v>
      </c>
      <c r="AD971" s="213"/>
    </row>
    <row r="972" spans="1:30" s="211" customFormat="1" x14ac:dyDescent="0.25">
      <c r="A972" s="211" t="s">
        <v>117</v>
      </c>
      <c r="B972" s="211">
        <v>944</v>
      </c>
      <c r="C972" s="211" t="s">
        <v>484</v>
      </c>
      <c r="D972" s="211">
        <v>191901781</v>
      </c>
      <c r="E972" s="211">
        <v>1060</v>
      </c>
      <c r="F972" s="211">
        <v>1274</v>
      </c>
      <c r="G972" s="211">
        <v>1004</v>
      </c>
      <c r="I972" s="211" t="s">
        <v>1631</v>
      </c>
      <c r="J972" s="212" t="s">
        <v>638</v>
      </c>
      <c r="K972" s="211" t="s">
        <v>639</v>
      </c>
      <c r="L972" s="211" t="s">
        <v>1639</v>
      </c>
      <c r="AD972" s="213"/>
    </row>
    <row r="973" spans="1:30" s="211" customFormat="1" x14ac:dyDescent="0.25">
      <c r="A973" s="211" t="s">
        <v>117</v>
      </c>
      <c r="B973" s="211">
        <v>944</v>
      </c>
      <c r="C973" s="211" t="s">
        <v>484</v>
      </c>
      <c r="D973" s="211">
        <v>191992614</v>
      </c>
      <c r="E973" s="211">
        <v>1060</v>
      </c>
      <c r="F973" s="211">
        <v>1252</v>
      </c>
      <c r="G973" s="211">
        <v>1004</v>
      </c>
      <c r="I973" s="211" t="s">
        <v>2955</v>
      </c>
      <c r="J973" s="212" t="s">
        <v>638</v>
      </c>
      <c r="K973" s="211" t="s">
        <v>524</v>
      </c>
      <c r="L973" s="211" t="s">
        <v>2978</v>
      </c>
      <c r="AD973" s="213"/>
    </row>
    <row r="974" spans="1:30" s="211" customFormat="1" x14ac:dyDescent="0.25">
      <c r="A974" s="211" t="s">
        <v>117</v>
      </c>
      <c r="B974" s="211">
        <v>944</v>
      </c>
      <c r="C974" s="211" t="s">
        <v>484</v>
      </c>
      <c r="D974" s="211">
        <v>191993815</v>
      </c>
      <c r="E974" s="211">
        <v>1060</v>
      </c>
      <c r="F974" s="211">
        <v>1252</v>
      </c>
      <c r="G974" s="211">
        <v>1004</v>
      </c>
      <c r="I974" s="211" t="s">
        <v>2956</v>
      </c>
      <c r="J974" s="212" t="s">
        <v>638</v>
      </c>
      <c r="K974" s="211" t="s">
        <v>524</v>
      </c>
      <c r="L974" s="211" t="s">
        <v>2979</v>
      </c>
      <c r="AD974" s="213"/>
    </row>
    <row r="975" spans="1:30" s="211" customFormat="1" x14ac:dyDescent="0.25">
      <c r="A975" s="211" t="s">
        <v>117</v>
      </c>
      <c r="B975" s="211">
        <v>944</v>
      </c>
      <c r="C975" s="211" t="s">
        <v>484</v>
      </c>
      <c r="D975" s="211">
        <v>192000743</v>
      </c>
      <c r="E975" s="211">
        <v>1060</v>
      </c>
      <c r="F975" s="211">
        <v>1252</v>
      </c>
      <c r="G975" s="211">
        <v>1004</v>
      </c>
      <c r="I975" s="211" t="s">
        <v>2056</v>
      </c>
      <c r="J975" s="212" t="s">
        <v>638</v>
      </c>
      <c r="K975" s="211" t="s">
        <v>524</v>
      </c>
      <c r="L975" s="211" t="s">
        <v>2064</v>
      </c>
      <c r="AD975" s="213"/>
    </row>
    <row r="976" spans="1:30" s="211" customFormat="1" x14ac:dyDescent="0.25">
      <c r="A976" s="211" t="s">
        <v>117</v>
      </c>
      <c r="B976" s="211">
        <v>944</v>
      </c>
      <c r="C976" s="211" t="s">
        <v>484</v>
      </c>
      <c r="D976" s="211">
        <v>192033558</v>
      </c>
      <c r="E976" s="211">
        <v>1060</v>
      </c>
      <c r="F976" s="211">
        <v>1242</v>
      </c>
      <c r="G976" s="211">
        <v>1004</v>
      </c>
      <c r="I976" s="211" t="s">
        <v>2519</v>
      </c>
      <c r="J976" s="212" t="s">
        <v>638</v>
      </c>
      <c r="K976" s="211" t="s">
        <v>524</v>
      </c>
      <c r="L976" s="211" t="s">
        <v>2541</v>
      </c>
      <c r="AD976" s="213"/>
    </row>
    <row r="977" spans="1:30" s="211" customFormat="1" x14ac:dyDescent="0.25">
      <c r="A977" s="211" t="s">
        <v>117</v>
      </c>
      <c r="B977" s="211">
        <v>944</v>
      </c>
      <c r="C977" s="211" t="s">
        <v>484</v>
      </c>
      <c r="D977" s="211">
        <v>192036305</v>
      </c>
      <c r="E977" s="211">
        <v>1060</v>
      </c>
      <c r="F977" s="211">
        <v>1274</v>
      </c>
      <c r="G977" s="211">
        <v>1004</v>
      </c>
      <c r="I977" s="211" t="s">
        <v>3555</v>
      </c>
      <c r="J977" s="212" t="s">
        <v>638</v>
      </c>
      <c r="K977" s="211" t="s">
        <v>524</v>
      </c>
      <c r="L977" s="211" t="s">
        <v>3588</v>
      </c>
      <c r="AD977" s="213"/>
    </row>
    <row r="978" spans="1:30" s="211" customFormat="1" x14ac:dyDescent="0.25">
      <c r="A978" s="211" t="s">
        <v>117</v>
      </c>
      <c r="B978" s="211">
        <v>944</v>
      </c>
      <c r="C978" s="211" t="s">
        <v>484</v>
      </c>
      <c r="D978" s="211">
        <v>192050734</v>
      </c>
      <c r="E978" s="211">
        <v>1060</v>
      </c>
      <c r="F978" s="211">
        <v>1242</v>
      </c>
      <c r="G978" s="211">
        <v>1004</v>
      </c>
      <c r="I978" s="211" t="s">
        <v>3556</v>
      </c>
      <c r="J978" s="212" t="s">
        <v>638</v>
      </c>
      <c r="K978" s="211" t="s">
        <v>639</v>
      </c>
      <c r="L978" s="211" t="s">
        <v>3594</v>
      </c>
      <c r="AD978" s="213"/>
    </row>
    <row r="979" spans="1:30" s="211" customFormat="1" x14ac:dyDescent="0.25">
      <c r="A979" s="211" t="s">
        <v>117</v>
      </c>
      <c r="B979" s="211">
        <v>944</v>
      </c>
      <c r="C979" s="211" t="s">
        <v>484</v>
      </c>
      <c r="D979" s="211">
        <v>192050742</v>
      </c>
      <c r="E979" s="211">
        <v>1060</v>
      </c>
      <c r="F979" s="211">
        <v>1274</v>
      </c>
      <c r="G979" s="211">
        <v>1004</v>
      </c>
      <c r="I979" s="211" t="s">
        <v>3557</v>
      </c>
      <c r="J979" s="212" t="s">
        <v>638</v>
      </c>
      <c r="K979" s="211" t="s">
        <v>524</v>
      </c>
      <c r="L979" s="211" t="s">
        <v>3589</v>
      </c>
      <c r="AD979" s="213"/>
    </row>
    <row r="980" spans="1:30" s="211" customFormat="1" x14ac:dyDescent="0.25">
      <c r="A980" s="211" t="s">
        <v>117</v>
      </c>
      <c r="B980" s="211">
        <v>944</v>
      </c>
      <c r="C980" s="211" t="s">
        <v>484</v>
      </c>
      <c r="D980" s="211">
        <v>192051962</v>
      </c>
      <c r="E980" s="211">
        <v>1060</v>
      </c>
      <c r="F980" s="211">
        <v>1274</v>
      </c>
      <c r="G980" s="211">
        <v>1004</v>
      </c>
      <c r="I980" s="211" t="s">
        <v>3800</v>
      </c>
      <c r="J980" s="212" t="s">
        <v>638</v>
      </c>
      <c r="K980" s="211" t="s">
        <v>524</v>
      </c>
      <c r="L980" s="211" t="s">
        <v>3838</v>
      </c>
      <c r="AD980" s="213"/>
    </row>
    <row r="981" spans="1:30" s="211" customFormat="1" x14ac:dyDescent="0.25">
      <c r="A981" s="211" t="s">
        <v>117</v>
      </c>
      <c r="B981" s="211">
        <v>945</v>
      </c>
      <c r="C981" s="211" t="s">
        <v>485</v>
      </c>
      <c r="D981" s="211">
        <v>192004037</v>
      </c>
      <c r="E981" s="211">
        <v>1060</v>
      </c>
      <c r="F981" s="211">
        <v>1242</v>
      </c>
      <c r="G981" s="211">
        <v>1004</v>
      </c>
      <c r="I981" s="211" t="s">
        <v>2164</v>
      </c>
      <c r="J981" s="212" t="s">
        <v>638</v>
      </c>
      <c r="K981" s="211" t="s">
        <v>524</v>
      </c>
      <c r="L981" s="211" t="s">
        <v>2170</v>
      </c>
      <c r="AD981" s="213"/>
    </row>
    <row r="982" spans="1:30" s="211" customFormat="1" x14ac:dyDescent="0.25">
      <c r="A982" s="211" t="s">
        <v>117</v>
      </c>
      <c r="B982" s="211">
        <v>945</v>
      </c>
      <c r="C982" s="211" t="s">
        <v>485</v>
      </c>
      <c r="D982" s="211">
        <v>192014053</v>
      </c>
      <c r="E982" s="211">
        <v>1060</v>
      </c>
      <c r="F982" s="211">
        <v>1274</v>
      </c>
      <c r="G982" s="211">
        <v>1004</v>
      </c>
      <c r="I982" s="211" t="s">
        <v>2480</v>
      </c>
      <c r="J982" s="212" t="s">
        <v>638</v>
      </c>
      <c r="K982" s="211" t="s">
        <v>524</v>
      </c>
      <c r="L982" s="211" t="s">
        <v>2502</v>
      </c>
      <c r="AD982" s="213"/>
    </row>
    <row r="983" spans="1:30" s="211" customFormat="1" x14ac:dyDescent="0.25">
      <c r="A983" s="211" t="s">
        <v>117</v>
      </c>
      <c r="B983" s="211">
        <v>946</v>
      </c>
      <c r="C983" s="211" t="s">
        <v>486</v>
      </c>
      <c r="D983" s="211">
        <v>502047833</v>
      </c>
      <c r="E983" s="211">
        <v>1060</v>
      </c>
      <c r="F983" s="211">
        <v>1271</v>
      </c>
      <c r="G983" s="211">
        <v>1004</v>
      </c>
      <c r="I983" s="211" t="s">
        <v>2264</v>
      </c>
      <c r="J983" s="212" t="s">
        <v>638</v>
      </c>
      <c r="K983" s="211" t="s">
        <v>526</v>
      </c>
      <c r="L983" s="211" t="s">
        <v>2266</v>
      </c>
      <c r="AD983" s="213"/>
    </row>
    <row r="984" spans="1:30" s="211" customFormat="1" x14ac:dyDescent="0.25">
      <c r="A984" s="211" t="s">
        <v>117</v>
      </c>
      <c r="B984" s="211">
        <v>946</v>
      </c>
      <c r="C984" s="211" t="s">
        <v>486</v>
      </c>
      <c r="D984" s="211">
        <v>502047834</v>
      </c>
      <c r="E984" s="211">
        <v>1060</v>
      </c>
      <c r="F984" s="211">
        <v>1271</v>
      </c>
      <c r="G984" s="211">
        <v>1004</v>
      </c>
      <c r="I984" s="211" t="s">
        <v>2265</v>
      </c>
      <c r="J984" s="212" t="s">
        <v>638</v>
      </c>
      <c r="K984" s="211" t="s">
        <v>526</v>
      </c>
      <c r="L984" s="211" t="s">
        <v>2266</v>
      </c>
      <c r="AD984" s="213"/>
    </row>
    <row r="985" spans="1:30" s="211" customFormat="1" x14ac:dyDescent="0.25">
      <c r="A985" s="211" t="s">
        <v>117</v>
      </c>
      <c r="B985" s="211">
        <v>948</v>
      </c>
      <c r="C985" s="211" t="s">
        <v>487</v>
      </c>
      <c r="D985" s="211">
        <v>191989999</v>
      </c>
      <c r="E985" s="211">
        <v>1060</v>
      </c>
      <c r="F985" s="211">
        <v>1271</v>
      </c>
      <c r="G985" s="211">
        <v>1004</v>
      </c>
      <c r="I985" s="211" t="s">
        <v>1561</v>
      </c>
      <c r="J985" s="212" t="s">
        <v>638</v>
      </c>
      <c r="K985" s="211" t="s">
        <v>524</v>
      </c>
      <c r="L985" s="211" t="s">
        <v>1574</v>
      </c>
      <c r="AD985" s="213"/>
    </row>
    <row r="986" spans="1:30" s="211" customFormat="1" x14ac:dyDescent="0.25">
      <c r="A986" s="211" t="s">
        <v>117</v>
      </c>
      <c r="B986" s="211">
        <v>948</v>
      </c>
      <c r="C986" s="211" t="s">
        <v>487</v>
      </c>
      <c r="D986" s="211">
        <v>192050136</v>
      </c>
      <c r="E986" s="211">
        <v>1060</v>
      </c>
      <c r="F986" s="211">
        <v>1271</v>
      </c>
      <c r="G986" s="211">
        <v>1004</v>
      </c>
      <c r="I986" s="211" t="s">
        <v>3558</v>
      </c>
      <c r="J986" s="212" t="s">
        <v>638</v>
      </c>
      <c r="K986" s="211" t="s">
        <v>524</v>
      </c>
      <c r="L986" s="211" t="s">
        <v>3590</v>
      </c>
      <c r="AD986" s="213"/>
    </row>
    <row r="987" spans="1:30" s="211" customFormat="1" x14ac:dyDescent="0.25">
      <c r="A987" s="211" t="s">
        <v>117</v>
      </c>
      <c r="B987" s="211">
        <v>951</v>
      </c>
      <c r="C987" s="211" t="s">
        <v>488</v>
      </c>
      <c r="D987" s="211">
        <v>191949465</v>
      </c>
      <c r="E987" s="211">
        <v>1060</v>
      </c>
      <c r="F987" s="211">
        <v>1271</v>
      </c>
      <c r="G987" s="211">
        <v>1004</v>
      </c>
      <c r="I987" s="211" t="s">
        <v>2803</v>
      </c>
      <c r="J987" s="212" t="s">
        <v>638</v>
      </c>
      <c r="K987" s="211" t="s">
        <v>524</v>
      </c>
      <c r="L987" s="211" t="s">
        <v>2838</v>
      </c>
      <c r="AD987" s="213"/>
    </row>
    <row r="988" spans="1:30" s="211" customFormat="1" x14ac:dyDescent="0.25">
      <c r="A988" s="211" t="s">
        <v>117</v>
      </c>
      <c r="B988" s="211">
        <v>951</v>
      </c>
      <c r="C988" s="211" t="s">
        <v>488</v>
      </c>
      <c r="D988" s="211">
        <v>192021998</v>
      </c>
      <c r="E988" s="211">
        <v>1060</v>
      </c>
      <c r="F988" s="211">
        <v>1242</v>
      </c>
      <c r="G988" s="211">
        <v>1004</v>
      </c>
      <c r="I988" s="211" t="s">
        <v>2758</v>
      </c>
      <c r="J988" s="212" t="s">
        <v>638</v>
      </c>
      <c r="K988" s="211" t="s">
        <v>524</v>
      </c>
      <c r="L988" s="211" t="s">
        <v>2781</v>
      </c>
      <c r="AD988" s="213"/>
    </row>
    <row r="989" spans="1:30" s="211" customFormat="1" x14ac:dyDescent="0.25">
      <c r="A989" s="211" t="s">
        <v>117</v>
      </c>
      <c r="B989" s="211">
        <v>952</v>
      </c>
      <c r="C989" s="211" t="s">
        <v>489</v>
      </c>
      <c r="D989" s="211">
        <v>192043129</v>
      </c>
      <c r="E989" s="211">
        <v>1060</v>
      </c>
      <c r="F989" s="211">
        <v>1271</v>
      </c>
      <c r="G989" s="211">
        <v>1004</v>
      </c>
      <c r="I989" s="211" t="s">
        <v>3381</v>
      </c>
      <c r="J989" s="212" t="s">
        <v>638</v>
      </c>
      <c r="K989" s="211" t="s">
        <v>639</v>
      </c>
      <c r="L989" s="211" t="s">
        <v>3424</v>
      </c>
      <c r="AD989" s="213"/>
    </row>
    <row r="990" spans="1:30" s="211" customFormat="1" x14ac:dyDescent="0.25">
      <c r="A990" s="211" t="s">
        <v>117</v>
      </c>
      <c r="B990" s="211">
        <v>953</v>
      </c>
      <c r="C990" s="211" t="s">
        <v>490</v>
      </c>
      <c r="D990" s="211">
        <v>191953508</v>
      </c>
      <c r="E990" s="211">
        <v>1060</v>
      </c>
      <c r="F990" s="211">
        <v>1242</v>
      </c>
      <c r="G990" s="211">
        <v>1004</v>
      </c>
      <c r="I990" s="211" t="s">
        <v>738</v>
      </c>
      <c r="J990" s="212" t="s">
        <v>638</v>
      </c>
      <c r="K990" s="211" t="s">
        <v>639</v>
      </c>
      <c r="L990" s="211" t="s">
        <v>928</v>
      </c>
      <c r="AD990" s="213"/>
    </row>
    <row r="991" spans="1:30" s="211" customFormat="1" x14ac:dyDescent="0.25">
      <c r="A991" s="211" t="s">
        <v>117</v>
      </c>
      <c r="B991" s="211">
        <v>953</v>
      </c>
      <c r="C991" s="211" t="s">
        <v>490</v>
      </c>
      <c r="D991" s="211">
        <v>191953511</v>
      </c>
      <c r="E991" s="211">
        <v>1060</v>
      </c>
      <c r="F991" s="211">
        <v>1271</v>
      </c>
      <c r="G991" s="211">
        <v>1004</v>
      </c>
      <c r="I991" s="211" t="s">
        <v>739</v>
      </c>
      <c r="J991" s="212" t="s">
        <v>638</v>
      </c>
      <c r="K991" s="211" t="s">
        <v>639</v>
      </c>
      <c r="L991" s="211" t="s">
        <v>929</v>
      </c>
      <c r="AD991" s="213"/>
    </row>
    <row r="992" spans="1:30" s="211" customFormat="1" x14ac:dyDescent="0.25">
      <c r="A992" s="211" t="s">
        <v>117</v>
      </c>
      <c r="B992" s="211">
        <v>953</v>
      </c>
      <c r="C992" s="211" t="s">
        <v>490</v>
      </c>
      <c r="D992" s="211">
        <v>502035178</v>
      </c>
      <c r="E992" s="211">
        <v>1060</v>
      </c>
      <c r="F992" s="211">
        <v>1242</v>
      </c>
      <c r="G992" s="211">
        <v>1004</v>
      </c>
      <c r="I992" s="211" t="s">
        <v>3301</v>
      </c>
      <c r="J992" s="212" t="s">
        <v>638</v>
      </c>
      <c r="K992" s="211" t="s">
        <v>639</v>
      </c>
      <c r="L992" s="211" t="s">
        <v>3359</v>
      </c>
      <c r="AD992" s="213"/>
    </row>
    <row r="993" spans="1:30" s="211" customFormat="1" x14ac:dyDescent="0.25">
      <c r="A993" s="211" t="s">
        <v>117</v>
      </c>
      <c r="B993" s="211">
        <v>953</v>
      </c>
      <c r="C993" s="211" t="s">
        <v>490</v>
      </c>
      <c r="D993" s="211">
        <v>502035254</v>
      </c>
      <c r="E993" s="211">
        <v>1060</v>
      </c>
      <c r="F993" s="211">
        <v>1271</v>
      </c>
      <c r="G993" s="211">
        <v>1004</v>
      </c>
      <c r="I993" s="211" t="s">
        <v>3302</v>
      </c>
      <c r="J993" s="212" t="s">
        <v>638</v>
      </c>
      <c r="K993" s="211" t="s">
        <v>524</v>
      </c>
      <c r="L993" s="211" t="s">
        <v>3347</v>
      </c>
      <c r="AD993" s="213"/>
    </row>
    <row r="994" spans="1:30" s="211" customFormat="1" x14ac:dyDescent="0.25">
      <c r="A994" s="211" t="s">
        <v>117</v>
      </c>
      <c r="B994" s="211">
        <v>954</v>
      </c>
      <c r="C994" s="211" t="s">
        <v>491</v>
      </c>
      <c r="D994" s="211">
        <v>190869969</v>
      </c>
      <c r="E994" s="211">
        <v>1060</v>
      </c>
      <c r="G994" s="211">
        <v>1004</v>
      </c>
      <c r="I994" s="211" t="s">
        <v>2560</v>
      </c>
      <c r="J994" s="212" t="s">
        <v>638</v>
      </c>
      <c r="K994" s="211" t="s">
        <v>639</v>
      </c>
      <c r="L994" s="211" t="s">
        <v>2577</v>
      </c>
      <c r="AD994" s="213"/>
    </row>
    <row r="995" spans="1:30" s="211" customFormat="1" x14ac:dyDescent="0.25">
      <c r="A995" s="211" t="s">
        <v>117</v>
      </c>
      <c r="B995" s="211">
        <v>954</v>
      </c>
      <c r="C995" s="211" t="s">
        <v>491</v>
      </c>
      <c r="D995" s="211">
        <v>191208990</v>
      </c>
      <c r="E995" s="211">
        <v>1060</v>
      </c>
      <c r="F995" s="211">
        <v>1251</v>
      </c>
      <c r="G995" s="211">
        <v>1003</v>
      </c>
      <c r="I995" s="211" t="s">
        <v>740</v>
      </c>
      <c r="J995" s="212" t="s">
        <v>638</v>
      </c>
      <c r="K995" s="211" t="s">
        <v>526</v>
      </c>
      <c r="L995" s="211" t="s">
        <v>2692</v>
      </c>
      <c r="AD995" s="213"/>
    </row>
    <row r="996" spans="1:30" s="211" customFormat="1" x14ac:dyDescent="0.25">
      <c r="A996" s="211" t="s">
        <v>117</v>
      </c>
      <c r="B996" s="211">
        <v>954</v>
      </c>
      <c r="C996" s="211" t="s">
        <v>491</v>
      </c>
      <c r="D996" s="211">
        <v>191984125</v>
      </c>
      <c r="E996" s="211">
        <v>1020</v>
      </c>
      <c r="F996" s="211">
        <v>1110</v>
      </c>
      <c r="G996" s="211">
        <v>1003</v>
      </c>
      <c r="I996" s="211" t="s">
        <v>2354</v>
      </c>
      <c r="J996" s="212" t="s">
        <v>638</v>
      </c>
      <c r="K996" s="211" t="s">
        <v>639</v>
      </c>
      <c r="L996" s="211" t="s">
        <v>2358</v>
      </c>
      <c r="AD996" s="213"/>
    </row>
    <row r="997" spans="1:30" s="211" customFormat="1" x14ac:dyDescent="0.25">
      <c r="A997" s="211" t="s">
        <v>117</v>
      </c>
      <c r="B997" s="211">
        <v>954</v>
      </c>
      <c r="C997" s="211" t="s">
        <v>491</v>
      </c>
      <c r="D997" s="211">
        <v>191984126</v>
      </c>
      <c r="E997" s="211">
        <v>1020</v>
      </c>
      <c r="F997" s="211">
        <v>1110</v>
      </c>
      <c r="G997" s="211">
        <v>1003</v>
      </c>
      <c r="I997" s="211" t="s">
        <v>2354</v>
      </c>
      <c r="J997" s="212" t="s">
        <v>638</v>
      </c>
      <c r="K997" s="211" t="s">
        <v>639</v>
      </c>
      <c r="L997" s="211" t="s">
        <v>2358</v>
      </c>
      <c r="AD997" s="213"/>
    </row>
    <row r="998" spans="1:30" s="211" customFormat="1" x14ac:dyDescent="0.25">
      <c r="A998" s="211" t="s">
        <v>117</v>
      </c>
      <c r="B998" s="211">
        <v>954</v>
      </c>
      <c r="C998" s="211" t="s">
        <v>491</v>
      </c>
      <c r="D998" s="211">
        <v>192005368</v>
      </c>
      <c r="E998" s="211">
        <v>1060</v>
      </c>
      <c r="F998" s="211">
        <v>1242</v>
      </c>
      <c r="G998" s="211">
        <v>1004</v>
      </c>
      <c r="I998" s="211" t="s">
        <v>1648</v>
      </c>
      <c r="J998" s="212" t="s">
        <v>638</v>
      </c>
      <c r="K998" s="211" t="s">
        <v>524</v>
      </c>
      <c r="L998" s="211" t="s">
        <v>1652</v>
      </c>
      <c r="AD998" s="213"/>
    </row>
    <row r="999" spans="1:30" s="211" customFormat="1" x14ac:dyDescent="0.25">
      <c r="A999" s="211" t="s">
        <v>117</v>
      </c>
      <c r="B999" s="211">
        <v>954</v>
      </c>
      <c r="C999" s="211" t="s">
        <v>491</v>
      </c>
      <c r="D999" s="211">
        <v>502117185</v>
      </c>
      <c r="E999" s="211">
        <v>1060</v>
      </c>
      <c r="F999" s="211">
        <v>1251</v>
      </c>
      <c r="G999" s="211">
        <v>1004</v>
      </c>
      <c r="I999" s="211" t="s">
        <v>741</v>
      </c>
      <c r="J999" s="212" t="s">
        <v>638</v>
      </c>
      <c r="K999" s="211" t="s">
        <v>526</v>
      </c>
      <c r="L999" s="211" t="s">
        <v>834</v>
      </c>
      <c r="AD999" s="213"/>
    </row>
    <row r="1000" spans="1:30" s="211" customFormat="1" x14ac:dyDescent="0.25">
      <c r="A1000" s="211" t="s">
        <v>117</v>
      </c>
      <c r="B1000" s="211">
        <v>955</v>
      </c>
      <c r="C1000" s="211" t="s">
        <v>492</v>
      </c>
      <c r="D1000" s="211">
        <v>1443174</v>
      </c>
      <c r="E1000" s="211">
        <v>1060</v>
      </c>
      <c r="G1000" s="211">
        <v>1004</v>
      </c>
      <c r="I1000" s="211" t="s">
        <v>932</v>
      </c>
      <c r="J1000" s="212" t="s">
        <v>638</v>
      </c>
      <c r="K1000" s="211" t="s">
        <v>524</v>
      </c>
      <c r="L1000" s="211" t="s">
        <v>934</v>
      </c>
      <c r="AD1000" s="213"/>
    </row>
    <row r="1001" spans="1:30" s="211" customFormat="1" x14ac:dyDescent="0.25">
      <c r="A1001" s="211" t="s">
        <v>117</v>
      </c>
      <c r="B1001" s="211">
        <v>955</v>
      </c>
      <c r="C1001" s="211" t="s">
        <v>492</v>
      </c>
      <c r="D1001" s="211">
        <v>191871094</v>
      </c>
      <c r="E1001" s="211">
        <v>1060</v>
      </c>
      <c r="F1001" s="211">
        <v>1274</v>
      </c>
      <c r="G1001" s="211">
        <v>1004</v>
      </c>
      <c r="I1001" s="211" t="s">
        <v>949</v>
      </c>
      <c r="J1001" s="212" t="s">
        <v>638</v>
      </c>
      <c r="K1001" s="211" t="s">
        <v>524</v>
      </c>
      <c r="L1001" s="211" t="s">
        <v>950</v>
      </c>
      <c r="AD1001" s="213"/>
    </row>
    <row r="1002" spans="1:30" s="211" customFormat="1" x14ac:dyDescent="0.25">
      <c r="A1002" s="211" t="s">
        <v>117</v>
      </c>
      <c r="B1002" s="211">
        <v>955</v>
      </c>
      <c r="C1002" s="211" t="s">
        <v>492</v>
      </c>
      <c r="D1002" s="211">
        <v>191880849</v>
      </c>
      <c r="E1002" s="211">
        <v>1060</v>
      </c>
      <c r="F1002" s="211">
        <v>1242</v>
      </c>
      <c r="G1002" s="211">
        <v>1004</v>
      </c>
      <c r="I1002" s="211" t="s">
        <v>789</v>
      </c>
      <c r="J1002" s="212" t="s">
        <v>638</v>
      </c>
      <c r="K1002" s="211" t="s">
        <v>524</v>
      </c>
      <c r="L1002" s="211" t="s">
        <v>903</v>
      </c>
      <c r="AD1002" s="213"/>
    </row>
    <row r="1003" spans="1:30" s="211" customFormat="1" x14ac:dyDescent="0.25">
      <c r="A1003" s="211" t="s">
        <v>117</v>
      </c>
      <c r="B1003" s="211">
        <v>955</v>
      </c>
      <c r="C1003" s="211" t="s">
        <v>492</v>
      </c>
      <c r="D1003" s="211">
        <v>191882445</v>
      </c>
      <c r="E1003" s="211">
        <v>1080</v>
      </c>
      <c r="F1003" s="211">
        <v>1242</v>
      </c>
      <c r="G1003" s="211">
        <v>1004</v>
      </c>
      <c r="I1003" s="211" t="s">
        <v>1584</v>
      </c>
      <c r="J1003" s="212" t="s">
        <v>638</v>
      </c>
      <c r="K1003" s="211" t="s">
        <v>524</v>
      </c>
      <c r="L1003" s="211" t="s">
        <v>1590</v>
      </c>
      <c r="AD1003" s="213"/>
    </row>
    <row r="1004" spans="1:30" s="211" customFormat="1" x14ac:dyDescent="0.25">
      <c r="A1004" s="211" t="s">
        <v>117</v>
      </c>
      <c r="B1004" s="211">
        <v>955</v>
      </c>
      <c r="C1004" s="211" t="s">
        <v>492</v>
      </c>
      <c r="D1004" s="211">
        <v>191955730</v>
      </c>
      <c r="E1004" s="211">
        <v>1060</v>
      </c>
      <c r="F1004" s="211">
        <v>1220</v>
      </c>
      <c r="G1004" s="211">
        <v>1003</v>
      </c>
      <c r="I1004" s="211" t="s">
        <v>742</v>
      </c>
      <c r="J1004" s="212" t="s">
        <v>638</v>
      </c>
      <c r="K1004" s="211" t="s">
        <v>639</v>
      </c>
      <c r="L1004" s="211" t="s">
        <v>930</v>
      </c>
      <c r="AD1004" s="213"/>
    </row>
    <row r="1005" spans="1:30" s="211" customFormat="1" x14ac:dyDescent="0.25">
      <c r="A1005" s="211" t="s">
        <v>117</v>
      </c>
      <c r="B1005" s="211">
        <v>955</v>
      </c>
      <c r="C1005" s="211" t="s">
        <v>492</v>
      </c>
      <c r="D1005" s="211">
        <v>191959258</v>
      </c>
      <c r="E1005" s="211">
        <v>1060</v>
      </c>
      <c r="F1005" s="211">
        <v>1242</v>
      </c>
      <c r="G1005" s="211">
        <v>1004</v>
      </c>
      <c r="I1005" s="211" t="s">
        <v>1373</v>
      </c>
      <c r="J1005" s="212" t="s">
        <v>638</v>
      </c>
      <c r="K1005" s="211" t="s">
        <v>524</v>
      </c>
      <c r="L1005" s="211" t="s">
        <v>1415</v>
      </c>
      <c r="AD1005" s="213"/>
    </row>
    <row r="1006" spans="1:30" s="211" customFormat="1" x14ac:dyDescent="0.25">
      <c r="A1006" s="211" t="s">
        <v>117</v>
      </c>
      <c r="B1006" s="211">
        <v>955</v>
      </c>
      <c r="C1006" s="211" t="s">
        <v>492</v>
      </c>
      <c r="D1006" s="211">
        <v>191964777</v>
      </c>
      <c r="E1006" s="211">
        <v>1060</v>
      </c>
      <c r="F1006" s="211">
        <v>1271</v>
      </c>
      <c r="G1006" s="211">
        <v>1004</v>
      </c>
      <c r="I1006" s="211" t="s">
        <v>743</v>
      </c>
      <c r="J1006" s="212" t="s">
        <v>638</v>
      </c>
      <c r="K1006" s="211" t="s">
        <v>524</v>
      </c>
      <c r="L1006" s="211" t="s">
        <v>904</v>
      </c>
      <c r="AD1006" s="213"/>
    </row>
    <row r="1007" spans="1:30" s="211" customFormat="1" x14ac:dyDescent="0.25">
      <c r="A1007" s="211" t="s">
        <v>117</v>
      </c>
      <c r="B1007" s="211">
        <v>955</v>
      </c>
      <c r="C1007" s="211" t="s">
        <v>492</v>
      </c>
      <c r="D1007" s="211">
        <v>191964778</v>
      </c>
      <c r="E1007" s="211">
        <v>1060</v>
      </c>
      <c r="F1007" s="211">
        <v>1252</v>
      </c>
      <c r="G1007" s="211">
        <v>1004</v>
      </c>
      <c r="I1007" s="211" t="s">
        <v>3626</v>
      </c>
      <c r="J1007" s="212" t="s">
        <v>638</v>
      </c>
      <c r="K1007" s="211" t="s">
        <v>524</v>
      </c>
      <c r="L1007" s="211" t="s">
        <v>3703</v>
      </c>
      <c r="AD1007" s="213"/>
    </row>
    <row r="1008" spans="1:30" s="211" customFormat="1" x14ac:dyDescent="0.25">
      <c r="A1008" s="211" t="s">
        <v>117</v>
      </c>
      <c r="B1008" s="211">
        <v>955</v>
      </c>
      <c r="C1008" s="211" t="s">
        <v>492</v>
      </c>
      <c r="D1008" s="211">
        <v>191968407</v>
      </c>
      <c r="E1008" s="211">
        <v>1060</v>
      </c>
      <c r="F1008" s="211">
        <v>1242</v>
      </c>
      <c r="G1008" s="211">
        <v>1004</v>
      </c>
      <c r="I1008" s="211" t="s">
        <v>744</v>
      </c>
      <c r="J1008" s="212" t="s">
        <v>638</v>
      </c>
      <c r="K1008" s="211" t="s">
        <v>639</v>
      </c>
      <c r="L1008" s="211" t="s">
        <v>931</v>
      </c>
      <c r="AD1008" s="213"/>
    </row>
    <row r="1009" spans="1:30" s="211" customFormat="1" x14ac:dyDescent="0.25">
      <c r="A1009" s="211" t="s">
        <v>117</v>
      </c>
      <c r="B1009" s="211">
        <v>955</v>
      </c>
      <c r="C1009" s="211" t="s">
        <v>492</v>
      </c>
      <c r="D1009" s="211">
        <v>191969849</v>
      </c>
      <c r="E1009" s="211">
        <v>1060</v>
      </c>
      <c r="F1009" s="211">
        <v>1242</v>
      </c>
      <c r="G1009" s="211">
        <v>1004</v>
      </c>
      <c r="I1009" s="211" t="s">
        <v>2355</v>
      </c>
      <c r="J1009" s="212" t="s">
        <v>638</v>
      </c>
      <c r="K1009" s="211" t="s">
        <v>524</v>
      </c>
      <c r="L1009" s="211" t="s">
        <v>2939</v>
      </c>
      <c r="AD1009" s="213"/>
    </row>
    <row r="1010" spans="1:30" s="211" customFormat="1" x14ac:dyDescent="0.25">
      <c r="A1010" s="211" t="s">
        <v>117</v>
      </c>
      <c r="B1010" s="211">
        <v>955</v>
      </c>
      <c r="C1010" s="211" t="s">
        <v>492</v>
      </c>
      <c r="D1010" s="211">
        <v>192018816</v>
      </c>
      <c r="E1010" s="211">
        <v>1060</v>
      </c>
      <c r="F1010" s="211">
        <v>1271</v>
      </c>
      <c r="G1010" s="211">
        <v>1004</v>
      </c>
      <c r="I1010" s="211" t="s">
        <v>3164</v>
      </c>
      <c r="J1010" s="212" t="s">
        <v>638</v>
      </c>
      <c r="K1010" s="211" t="s">
        <v>524</v>
      </c>
      <c r="L1010" s="211" t="s">
        <v>3190</v>
      </c>
      <c r="AD1010" s="213"/>
    </row>
    <row r="1011" spans="1:30" s="211" customFormat="1" x14ac:dyDescent="0.25">
      <c r="A1011" s="211" t="s">
        <v>117</v>
      </c>
      <c r="B1011" s="211">
        <v>955</v>
      </c>
      <c r="C1011" s="211" t="s">
        <v>492</v>
      </c>
      <c r="D1011" s="211">
        <v>192018818</v>
      </c>
      <c r="E1011" s="211">
        <v>1060</v>
      </c>
      <c r="F1011" s="211">
        <v>1271</v>
      </c>
      <c r="G1011" s="211">
        <v>1004</v>
      </c>
      <c r="I1011" s="211" t="s">
        <v>3165</v>
      </c>
      <c r="J1011" s="212" t="s">
        <v>638</v>
      </c>
      <c r="K1011" s="211" t="s">
        <v>524</v>
      </c>
      <c r="L1011" s="211" t="s">
        <v>3191</v>
      </c>
      <c r="AD1011" s="213"/>
    </row>
    <row r="1012" spans="1:30" s="211" customFormat="1" x14ac:dyDescent="0.25">
      <c r="A1012" s="211" t="s">
        <v>117</v>
      </c>
      <c r="B1012" s="211">
        <v>955</v>
      </c>
      <c r="C1012" s="211" t="s">
        <v>492</v>
      </c>
      <c r="D1012" s="211">
        <v>192023653</v>
      </c>
      <c r="E1012" s="211">
        <v>1060</v>
      </c>
      <c r="F1012" s="211">
        <v>1274</v>
      </c>
      <c r="G1012" s="211">
        <v>1004</v>
      </c>
      <c r="I1012" s="211" t="s">
        <v>2395</v>
      </c>
      <c r="J1012" s="212" t="s">
        <v>638</v>
      </c>
      <c r="K1012" s="211" t="s">
        <v>524</v>
      </c>
      <c r="L1012" s="211" t="s">
        <v>2433</v>
      </c>
      <c r="AD1012" s="213"/>
    </row>
    <row r="1013" spans="1:30" s="211" customFormat="1" x14ac:dyDescent="0.25">
      <c r="A1013" s="211" t="s">
        <v>117</v>
      </c>
      <c r="B1013" s="211">
        <v>955</v>
      </c>
      <c r="C1013" s="211" t="s">
        <v>492</v>
      </c>
      <c r="D1013" s="211">
        <v>502141124</v>
      </c>
      <c r="E1013" s="211">
        <v>1060</v>
      </c>
      <c r="F1013" s="211">
        <v>1252</v>
      </c>
      <c r="G1013" s="211">
        <v>1004</v>
      </c>
      <c r="I1013" s="211" t="s">
        <v>3627</v>
      </c>
      <c r="J1013" s="212" t="s">
        <v>638</v>
      </c>
      <c r="K1013" s="211" t="s">
        <v>524</v>
      </c>
      <c r="L1013" s="211" t="s">
        <v>3704</v>
      </c>
      <c r="AD1013" s="213"/>
    </row>
    <row r="1014" spans="1:30" s="211" customFormat="1" x14ac:dyDescent="0.25">
      <c r="A1014" s="211" t="s">
        <v>117</v>
      </c>
      <c r="B1014" s="211">
        <v>955</v>
      </c>
      <c r="C1014" s="211" t="s">
        <v>492</v>
      </c>
      <c r="D1014" s="211">
        <v>502141448</v>
      </c>
      <c r="E1014" s="211">
        <v>1060</v>
      </c>
      <c r="F1014" s="211">
        <v>1271</v>
      </c>
      <c r="G1014" s="211">
        <v>1004</v>
      </c>
      <c r="I1014" s="211" t="s">
        <v>2681</v>
      </c>
      <c r="J1014" s="212" t="s">
        <v>638</v>
      </c>
      <c r="K1014" s="211" t="s">
        <v>524</v>
      </c>
      <c r="L1014" s="211" t="s">
        <v>2701</v>
      </c>
      <c r="AD1014" s="213"/>
    </row>
    <row r="1015" spans="1:30" s="211" customFormat="1" x14ac:dyDescent="0.25">
      <c r="A1015" s="211" t="s">
        <v>117</v>
      </c>
      <c r="B1015" s="211">
        <v>955</v>
      </c>
      <c r="C1015" s="211" t="s">
        <v>492</v>
      </c>
      <c r="D1015" s="211">
        <v>502141449</v>
      </c>
      <c r="E1015" s="211">
        <v>1060</v>
      </c>
      <c r="F1015" s="211">
        <v>1274</v>
      </c>
      <c r="G1015" s="211">
        <v>1004</v>
      </c>
      <c r="I1015" s="211" t="s">
        <v>2682</v>
      </c>
      <c r="J1015" s="212" t="s">
        <v>638</v>
      </c>
      <c r="K1015" s="211" t="s">
        <v>524</v>
      </c>
      <c r="L1015" s="211" t="s">
        <v>2702</v>
      </c>
      <c r="AD1015" s="213"/>
    </row>
    <row r="1016" spans="1:30" s="211" customFormat="1" x14ac:dyDescent="0.25">
      <c r="A1016" s="211" t="s">
        <v>117</v>
      </c>
      <c r="B1016" s="211">
        <v>956</v>
      </c>
      <c r="C1016" s="211" t="s">
        <v>493</v>
      </c>
      <c r="D1016" s="211">
        <v>191991362</v>
      </c>
      <c r="E1016" s="211">
        <v>1060</v>
      </c>
      <c r="F1016" s="211">
        <v>1251</v>
      </c>
      <c r="G1016" s="211">
        <v>1004</v>
      </c>
      <c r="I1016" s="211" t="s">
        <v>1374</v>
      </c>
      <c r="J1016" s="212" t="s">
        <v>638</v>
      </c>
      <c r="K1016" s="211" t="s">
        <v>639</v>
      </c>
      <c r="L1016" s="211" t="s">
        <v>1430</v>
      </c>
      <c r="AD1016" s="213"/>
    </row>
    <row r="1017" spans="1:30" s="211" customFormat="1" x14ac:dyDescent="0.25">
      <c r="A1017" s="211" t="s">
        <v>117</v>
      </c>
      <c r="B1017" s="211">
        <v>956</v>
      </c>
      <c r="C1017" s="211" t="s">
        <v>493</v>
      </c>
      <c r="D1017" s="211">
        <v>192008648</v>
      </c>
      <c r="E1017" s="211">
        <v>1060</v>
      </c>
      <c r="F1017" s="211">
        <v>1274</v>
      </c>
      <c r="G1017" s="211">
        <v>1004</v>
      </c>
      <c r="I1017" s="211" t="s">
        <v>2653</v>
      </c>
      <c r="J1017" s="212" t="s">
        <v>638</v>
      </c>
      <c r="K1017" s="211" t="s">
        <v>524</v>
      </c>
      <c r="L1017" s="211" t="s">
        <v>2664</v>
      </c>
      <c r="AD1017" s="213"/>
    </row>
    <row r="1018" spans="1:30" s="211" customFormat="1" x14ac:dyDescent="0.25">
      <c r="A1018" s="211" t="s">
        <v>117</v>
      </c>
      <c r="B1018" s="211">
        <v>956</v>
      </c>
      <c r="C1018" s="211" t="s">
        <v>493</v>
      </c>
      <c r="D1018" s="211">
        <v>192026056</v>
      </c>
      <c r="E1018" s="211">
        <v>1080</v>
      </c>
      <c r="F1018" s="211">
        <v>1242</v>
      </c>
      <c r="G1018" s="211">
        <v>1004</v>
      </c>
      <c r="I1018" s="211" t="s">
        <v>2622</v>
      </c>
      <c r="J1018" s="212" t="s">
        <v>638</v>
      </c>
      <c r="K1018" s="211" t="s">
        <v>524</v>
      </c>
      <c r="L1018" s="211" t="s">
        <v>2634</v>
      </c>
      <c r="AD1018" s="213"/>
    </row>
    <row r="1019" spans="1:30" s="211" customFormat="1" x14ac:dyDescent="0.25">
      <c r="A1019" s="211" t="s">
        <v>117</v>
      </c>
      <c r="B1019" s="211">
        <v>957</v>
      </c>
      <c r="C1019" s="211" t="s">
        <v>494</v>
      </c>
      <c r="D1019" s="211">
        <v>191564437</v>
      </c>
      <c r="E1019" s="211">
        <v>1060</v>
      </c>
      <c r="F1019" s="211">
        <v>1271</v>
      </c>
      <c r="G1019" s="211">
        <v>1004</v>
      </c>
      <c r="I1019" s="211" t="s">
        <v>2520</v>
      </c>
      <c r="J1019" s="212" t="s">
        <v>638</v>
      </c>
      <c r="K1019" s="211" t="s">
        <v>524</v>
      </c>
      <c r="L1019" s="211" t="s">
        <v>1679</v>
      </c>
      <c r="AD1019" s="213"/>
    </row>
    <row r="1020" spans="1:30" s="211" customFormat="1" x14ac:dyDescent="0.25">
      <c r="A1020" s="211" t="s">
        <v>117</v>
      </c>
      <c r="B1020" s="211">
        <v>957</v>
      </c>
      <c r="C1020" s="211" t="s">
        <v>494</v>
      </c>
      <c r="D1020" s="211">
        <v>191838235</v>
      </c>
      <c r="E1020" s="211">
        <v>1060</v>
      </c>
      <c r="F1020" s="211">
        <v>1271</v>
      </c>
      <c r="G1020" s="211">
        <v>1004</v>
      </c>
      <c r="I1020" s="211" t="s">
        <v>2584</v>
      </c>
      <c r="J1020" s="212" t="s">
        <v>638</v>
      </c>
      <c r="K1020" s="211" t="s">
        <v>524</v>
      </c>
      <c r="L1020" s="211" t="s">
        <v>2589</v>
      </c>
      <c r="AD1020" s="213"/>
    </row>
    <row r="1021" spans="1:30" s="211" customFormat="1" x14ac:dyDescent="0.25">
      <c r="A1021" s="211" t="s">
        <v>117</v>
      </c>
      <c r="B1021" s="211">
        <v>957</v>
      </c>
      <c r="C1021" s="211" t="s">
        <v>494</v>
      </c>
      <c r="D1021" s="211">
        <v>191838236</v>
      </c>
      <c r="E1021" s="211">
        <v>1060</v>
      </c>
      <c r="F1021" s="211">
        <v>1271</v>
      </c>
      <c r="G1021" s="211">
        <v>1004</v>
      </c>
      <c r="I1021" s="211" t="s">
        <v>2584</v>
      </c>
      <c r="J1021" s="212" t="s">
        <v>638</v>
      </c>
      <c r="K1021" s="211" t="s">
        <v>524</v>
      </c>
      <c r="L1021" s="211" t="s">
        <v>2590</v>
      </c>
      <c r="AD1021" s="213"/>
    </row>
    <row r="1022" spans="1:30" s="211" customFormat="1" x14ac:dyDescent="0.25">
      <c r="A1022" s="211" t="s">
        <v>117</v>
      </c>
      <c r="B1022" s="211">
        <v>957</v>
      </c>
      <c r="C1022" s="211" t="s">
        <v>494</v>
      </c>
      <c r="D1022" s="211">
        <v>191905921</v>
      </c>
      <c r="E1022" s="211">
        <v>1060</v>
      </c>
      <c r="F1022" s="211">
        <v>1252</v>
      </c>
      <c r="G1022" s="211">
        <v>1003</v>
      </c>
      <c r="I1022" s="211" t="s">
        <v>1675</v>
      </c>
      <c r="J1022" s="212" t="s">
        <v>638</v>
      </c>
      <c r="K1022" s="211" t="s">
        <v>526</v>
      </c>
      <c r="L1022" s="211" t="s">
        <v>3180</v>
      </c>
      <c r="AD1022" s="213"/>
    </row>
    <row r="1023" spans="1:30" s="211" customFormat="1" x14ac:dyDescent="0.25">
      <c r="A1023" s="211" t="s">
        <v>117</v>
      </c>
      <c r="B1023" s="211">
        <v>957</v>
      </c>
      <c r="C1023" s="211" t="s">
        <v>494</v>
      </c>
      <c r="D1023" s="211">
        <v>191905923</v>
      </c>
      <c r="E1023" s="211">
        <v>1060</v>
      </c>
      <c r="F1023" s="211">
        <v>1252</v>
      </c>
      <c r="G1023" s="211">
        <v>1003</v>
      </c>
      <c r="I1023" s="211" t="s">
        <v>3166</v>
      </c>
      <c r="J1023" s="212" t="s">
        <v>638</v>
      </c>
      <c r="K1023" s="211" t="s">
        <v>526</v>
      </c>
      <c r="L1023" s="211" t="s">
        <v>3246</v>
      </c>
      <c r="AD1023" s="213"/>
    </row>
    <row r="1024" spans="1:30" s="211" customFormat="1" x14ac:dyDescent="0.25">
      <c r="A1024" s="211" t="s">
        <v>117</v>
      </c>
      <c r="B1024" s="211">
        <v>957</v>
      </c>
      <c r="C1024" s="211" t="s">
        <v>494</v>
      </c>
      <c r="D1024" s="211">
        <v>191971670</v>
      </c>
      <c r="E1024" s="211">
        <v>1060</v>
      </c>
      <c r="F1024" s="211">
        <v>1252</v>
      </c>
      <c r="G1024" s="211">
        <v>1004</v>
      </c>
      <c r="I1024" s="211" t="s">
        <v>1676</v>
      </c>
      <c r="J1024" s="212" t="s">
        <v>638</v>
      </c>
      <c r="K1024" s="211" t="s">
        <v>524</v>
      </c>
      <c r="L1024" s="211" t="s">
        <v>1680</v>
      </c>
      <c r="AD1024" s="213"/>
    </row>
    <row r="1025" spans="1:30" s="211" customFormat="1" x14ac:dyDescent="0.25">
      <c r="A1025" s="211" t="s">
        <v>117</v>
      </c>
      <c r="B1025" s="211">
        <v>957</v>
      </c>
      <c r="C1025" s="211" t="s">
        <v>494</v>
      </c>
      <c r="D1025" s="211">
        <v>191974186</v>
      </c>
      <c r="E1025" s="211">
        <v>1020</v>
      </c>
      <c r="F1025" s="211">
        <v>1110</v>
      </c>
      <c r="G1025" s="211">
        <v>1003</v>
      </c>
      <c r="I1025" s="211" t="s">
        <v>1677</v>
      </c>
      <c r="J1025" s="212" t="s">
        <v>638</v>
      </c>
      <c r="K1025" s="211" t="s">
        <v>639</v>
      </c>
      <c r="L1025" s="211" t="s">
        <v>1684</v>
      </c>
      <c r="AD1025" s="213"/>
    </row>
    <row r="1026" spans="1:30" s="211" customFormat="1" x14ac:dyDescent="0.25">
      <c r="A1026" s="211" t="s">
        <v>117</v>
      </c>
      <c r="B1026" s="211">
        <v>957</v>
      </c>
      <c r="C1026" s="211" t="s">
        <v>494</v>
      </c>
      <c r="D1026" s="211">
        <v>191978066</v>
      </c>
      <c r="E1026" s="211">
        <v>1060</v>
      </c>
      <c r="F1026" s="211">
        <v>1252</v>
      </c>
      <c r="G1026" s="211">
        <v>1004</v>
      </c>
      <c r="I1026" s="211" t="s">
        <v>2362</v>
      </c>
      <c r="J1026" s="212" t="s">
        <v>638</v>
      </c>
      <c r="K1026" s="211" t="s">
        <v>524</v>
      </c>
      <c r="L1026" s="211" t="s">
        <v>2366</v>
      </c>
      <c r="AD1026" s="213"/>
    </row>
    <row r="1027" spans="1:30" s="211" customFormat="1" x14ac:dyDescent="0.25">
      <c r="A1027" s="211" t="s">
        <v>117</v>
      </c>
      <c r="B1027" s="211">
        <v>957</v>
      </c>
      <c r="C1027" s="211" t="s">
        <v>494</v>
      </c>
      <c r="D1027" s="211">
        <v>192001591</v>
      </c>
      <c r="E1027" s="211">
        <v>1020</v>
      </c>
      <c r="F1027" s="211">
        <v>1122</v>
      </c>
      <c r="G1027" s="211">
        <v>1003</v>
      </c>
      <c r="I1027" s="211" t="s">
        <v>3801</v>
      </c>
      <c r="J1027" s="212" t="s">
        <v>638</v>
      </c>
      <c r="K1027" s="211" t="s">
        <v>639</v>
      </c>
      <c r="L1027" s="211" t="s">
        <v>3848</v>
      </c>
      <c r="AD1027" s="213"/>
    </row>
    <row r="1028" spans="1:30" s="211" customFormat="1" x14ac:dyDescent="0.25">
      <c r="A1028" s="211" t="s">
        <v>117</v>
      </c>
      <c r="B1028" s="211">
        <v>957</v>
      </c>
      <c r="C1028" s="211" t="s">
        <v>494</v>
      </c>
      <c r="D1028" s="211">
        <v>502256952</v>
      </c>
      <c r="E1028" s="211">
        <v>1060</v>
      </c>
      <c r="G1028" s="211">
        <v>1004</v>
      </c>
      <c r="I1028" s="211" t="s">
        <v>3053</v>
      </c>
      <c r="J1028" s="212" t="s">
        <v>638</v>
      </c>
      <c r="K1028" s="211" t="s">
        <v>526</v>
      </c>
      <c r="L1028" s="211" t="s">
        <v>3101</v>
      </c>
      <c r="AD1028" s="213"/>
    </row>
    <row r="1029" spans="1:30" s="211" customFormat="1" x14ac:dyDescent="0.25">
      <c r="A1029" s="211" t="s">
        <v>117</v>
      </c>
      <c r="B1029" s="211">
        <v>957</v>
      </c>
      <c r="C1029" s="211" t="s">
        <v>494</v>
      </c>
      <c r="D1029" s="211">
        <v>502256953</v>
      </c>
      <c r="E1029" s="211">
        <v>1060</v>
      </c>
      <c r="G1029" s="211">
        <v>1004</v>
      </c>
      <c r="I1029" s="211" t="s">
        <v>3054</v>
      </c>
      <c r="J1029" s="212" t="s">
        <v>638</v>
      </c>
      <c r="K1029" s="211" t="s">
        <v>526</v>
      </c>
      <c r="L1029" s="211" t="s">
        <v>3101</v>
      </c>
      <c r="AD1029" s="213"/>
    </row>
    <row r="1030" spans="1:30" s="211" customFormat="1" x14ac:dyDescent="0.25">
      <c r="A1030" s="211" t="s">
        <v>117</v>
      </c>
      <c r="B1030" s="211">
        <v>957</v>
      </c>
      <c r="C1030" s="211" t="s">
        <v>494</v>
      </c>
      <c r="D1030" s="211">
        <v>502256954</v>
      </c>
      <c r="E1030" s="211">
        <v>1060</v>
      </c>
      <c r="G1030" s="211">
        <v>1004</v>
      </c>
      <c r="I1030" s="211" t="s">
        <v>3055</v>
      </c>
      <c r="J1030" s="212" t="s">
        <v>638</v>
      </c>
      <c r="K1030" s="211" t="s">
        <v>526</v>
      </c>
      <c r="L1030" s="211" t="s">
        <v>3101</v>
      </c>
      <c r="AD1030" s="213"/>
    </row>
    <row r="1031" spans="1:30" s="211" customFormat="1" x14ac:dyDescent="0.25">
      <c r="A1031" s="211" t="s">
        <v>117</v>
      </c>
      <c r="B1031" s="211">
        <v>957</v>
      </c>
      <c r="C1031" s="211" t="s">
        <v>494</v>
      </c>
      <c r="D1031" s="211">
        <v>502257020</v>
      </c>
      <c r="E1031" s="211">
        <v>1060</v>
      </c>
      <c r="F1031" s="211">
        <v>1242</v>
      </c>
      <c r="G1031" s="211">
        <v>1004</v>
      </c>
      <c r="I1031" s="211" t="s">
        <v>3167</v>
      </c>
      <c r="J1031" s="212" t="s">
        <v>638</v>
      </c>
      <c r="K1031" s="211" t="s">
        <v>524</v>
      </c>
      <c r="L1031" s="211" t="s">
        <v>3192</v>
      </c>
      <c r="AD1031" s="213"/>
    </row>
    <row r="1032" spans="1:30" s="211" customFormat="1" x14ac:dyDescent="0.25">
      <c r="A1032" s="211" t="s">
        <v>117</v>
      </c>
      <c r="B1032" s="211">
        <v>959</v>
      </c>
      <c r="C1032" s="211" t="s">
        <v>496</v>
      </c>
      <c r="D1032" s="211">
        <v>191982672</v>
      </c>
      <c r="E1032" s="211">
        <v>1060</v>
      </c>
      <c r="F1032" s="211">
        <v>1242</v>
      </c>
      <c r="G1032" s="211">
        <v>1004</v>
      </c>
      <c r="I1032" s="211" t="s">
        <v>933</v>
      </c>
      <c r="J1032" s="212" t="s">
        <v>638</v>
      </c>
      <c r="K1032" s="211" t="s">
        <v>639</v>
      </c>
      <c r="L1032" s="211" t="s">
        <v>935</v>
      </c>
      <c r="AD1032" s="213"/>
    </row>
    <row r="1033" spans="1:30" s="211" customFormat="1" x14ac:dyDescent="0.25">
      <c r="A1033" s="211" t="s">
        <v>117</v>
      </c>
      <c r="B1033" s="211">
        <v>959</v>
      </c>
      <c r="C1033" s="211" t="s">
        <v>496</v>
      </c>
      <c r="D1033" s="211">
        <v>192003920</v>
      </c>
      <c r="E1033" s="211">
        <v>1080</v>
      </c>
      <c r="F1033" s="211">
        <v>1252</v>
      </c>
      <c r="G1033" s="211">
        <v>1004</v>
      </c>
      <c r="I1033" s="211" t="s">
        <v>1623</v>
      </c>
      <c r="J1033" s="212" t="s">
        <v>638</v>
      </c>
      <c r="K1033" s="211" t="s">
        <v>524</v>
      </c>
      <c r="L1033" s="211" t="s">
        <v>1625</v>
      </c>
      <c r="AD1033" s="213"/>
    </row>
    <row r="1034" spans="1:30" s="211" customFormat="1" x14ac:dyDescent="0.25">
      <c r="A1034" s="211" t="s">
        <v>117</v>
      </c>
      <c r="B1034" s="211">
        <v>959</v>
      </c>
      <c r="C1034" s="211" t="s">
        <v>496</v>
      </c>
      <c r="D1034" s="211">
        <v>504183730</v>
      </c>
      <c r="E1034" s="211">
        <v>1060</v>
      </c>
      <c r="F1034" s="211">
        <v>1274</v>
      </c>
      <c r="G1034" s="211">
        <v>1004</v>
      </c>
      <c r="I1034" s="211" t="s">
        <v>2396</v>
      </c>
      <c r="J1034" s="212" t="s">
        <v>638</v>
      </c>
      <c r="K1034" s="211" t="s">
        <v>524</v>
      </c>
      <c r="L1034" s="211" t="s">
        <v>2434</v>
      </c>
      <c r="AD1034" s="213"/>
    </row>
    <row r="1035" spans="1:30" s="211" customFormat="1" x14ac:dyDescent="0.25">
      <c r="A1035" s="211" t="s">
        <v>117</v>
      </c>
      <c r="B1035" s="211">
        <v>959</v>
      </c>
      <c r="C1035" s="211" t="s">
        <v>496</v>
      </c>
      <c r="D1035" s="211">
        <v>504183731</v>
      </c>
      <c r="E1035" s="211">
        <v>1060</v>
      </c>
      <c r="F1035" s="211">
        <v>1271</v>
      </c>
      <c r="G1035" s="211">
        <v>1004</v>
      </c>
      <c r="I1035" s="211" t="s">
        <v>2397</v>
      </c>
      <c r="J1035" s="212" t="s">
        <v>638</v>
      </c>
      <c r="K1035" s="211" t="s">
        <v>524</v>
      </c>
      <c r="L1035" s="211" t="s">
        <v>2435</v>
      </c>
      <c r="AD1035" s="213"/>
    </row>
    <row r="1036" spans="1:30" s="211" customFormat="1" x14ac:dyDescent="0.25">
      <c r="A1036" s="211" t="s">
        <v>117</v>
      </c>
      <c r="B1036" s="211">
        <v>959</v>
      </c>
      <c r="C1036" s="211" t="s">
        <v>496</v>
      </c>
      <c r="D1036" s="211">
        <v>504183732</v>
      </c>
      <c r="E1036" s="211">
        <v>1060</v>
      </c>
      <c r="F1036" s="211">
        <v>1271</v>
      </c>
      <c r="G1036" s="211">
        <v>1004</v>
      </c>
      <c r="I1036" s="211" t="s">
        <v>2398</v>
      </c>
      <c r="J1036" s="212" t="s">
        <v>638</v>
      </c>
      <c r="K1036" s="211" t="s">
        <v>524</v>
      </c>
      <c r="L1036" s="211" t="s">
        <v>2436</v>
      </c>
      <c r="AD1036" s="213"/>
    </row>
    <row r="1037" spans="1:30" s="211" customFormat="1" x14ac:dyDescent="0.25">
      <c r="A1037" s="211" t="s">
        <v>117</v>
      </c>
      <c r="B1037" s="211">
        <v>959</v>
      </c>
      <c r="C1037" s="211" t="s">
        <v>496</v>
      </c>
      <c r="D1037" s="211">
        <v>504183733</v>
      </c>
      <c r="E1037" s="211">
        <v>1060</v>
      </c>
      <c r="F1037" s="211">
        <v>1274</v>
      </c>
      <c r="G1037" s="211">
        <v>1004</v>
      </c>
      <c r="I1037" s="211" t="s">
        <v>2399</v>
      </c>
      <c r="J1037" s="212" t="s">
        <v>638</v>
      </c>
      <c r="K1037" s="211" t="s">
        <v>524</v>
      </c>
      <c r="L1037" s="211" t="s">
        <v>2437</v>
      </c>
      <c r="AD1037" s="213"/>
    </row>
    <row r="1038" spans="1:30" s="211" customFormat="1" x14ac:dyDescent="0.25">
      <c r="A1038" s="211" t="s">
        <v>117</v>
      </c>
      <c r="B1038" s="211">
        <v>959</v>
      </c>
      <c r="C1038" s="211" t="s">
        <v>496</v>
      </c>
      <c r="D1038" s="211">
        <v>504183734</v>
      </c>
      <c r="E1038" s="211">
        <v>1060</v>
      </c>
      <c r="F1038" s="211">
        <v>1274</v>
      </c>
      <c r="G1038" s="211">
        <v>1004</v>
      </c>
      <c r="I1038" s="211" t="s">
        <v>2400</v>
      </c>
      <c r="J1038" s="212" t="s">
        <v>638</v>
      </c>
      <c r="K1038" s="211" t="s">
        <v>524</v>
      </c>
      <c r="L1038" s="211" t="s">
        <v>2438</v>
      </c>
      <c r="AD1038" s="213"/>
    </row>
    <row r="1039" spans="1:30" s="211" customFormat="1" x14ac:dyDescent="0.25">
      <c r="A1039" s="211" t="s">
        <v>117</v>
      </c>
      <c r="B1039" s="211">
        <v>959</v>
      </c>
      <c r="C1039" s="211" t="s">
        <v>496</v>
      </c>
      <c r="D1039" s="211">
        <v>504183735</v>
      </c>
      <c r="E1039" s="211">
        <v>1060</v>
      </c>
      <c r="F1039" s="211">
        <v>1271</v>
      </c>
      <c r="G1039" s="211">
        <v>1004</v>
      </c>
      <c r="I1039" s="211" t="s">
        <v>2401</v>
      </c>
      <c r="J1039" s="212" t="s">
        <v>638</v>
      </c>
      <c r="K1039" s="211" t="s">
        <v>524</v>
      </c>
      <c r="L1039" s="211" t="s">
        <v>2439</v>
      </c>
      <c r="AD1039" s="213"/>
    </row>
    <row r="1040" spans="1:30" s="211" customFormat="1" x14ac:dyDescent="0.25">
      <c r="A1040" s="211" t="s">
        <v>117</v>
      </c>
      <c r="B1040" s="211">
        <v>959</v>
      </c>
      <c r="C1040" s="211" t="s">
        <v>496</v>
      </c>
      <c r="D1040" s="211">
        <v>504183736</v>
      </c>
      <c r="E1040" s="211">
        <v>1060</v>
      </c>
      <c r="F1040" s="211">
        <v>1274</v>
      </c>
      <c r="G1040" s="211">
        <v>1004</v>
      </c>
      <c r="I1040" s="211" t="s">
        <v>2402</v>
      </c>
      <c r="J1040" s="212" t="s">
        <v>638</v>
      </c>
      <c r="K1040" s="211" t="s">
        <v>524</v>
      </c>
      <c r="L1040" s="211" t="s">
        <v>2440</v>
      </c>
      <c r="AD1040" s="213"/>
    </row>
    <row r="1041" spans="1:30" s="211" customFormat="1" x14ac:dyDescent="0.25">
      <c r="A1041" s="211" t="s">
        <v>117</v>
      </c>
      <c r="B1041" s="211">
        <v>959</v>
      </c>
      <c r="C1041" s="211" t="s">
        <v>496</v>
      </c>
      <c r="D1041" s="211">
        <v>504183737</v>
      </c>
      <c r="E1041" s="211">
        <v>1060</v>
      </c>
      <c r="F1041" s="211">
        <v>1274</v>
      </c>
      <c r="G1041" s="211">
        <v>1004</v>
      </c>
      <c r="I1041" s="211" t="s">
        <v>2403</v>
      </c>
      <c r="J1041" s="212" t="s">
        <v>638</v>
      </c>
      <c r="K1041" s="211" t="s">
        <v>524</v>
      </c>
      <c r="L1041" s="211" t="s">
        <v>2441</v>
      </c>
      <c r="AD1041" s="213"/>
    </row>
    <row r="1042" spans="1:30" s="211" customFormat="1" x14ac:dyDescent="0.25">
      <c r="A1042" s="211" t="s">
        <v>117</v>
      </c>
      <c r="B1042" s="211">
        <v>959</v>
      </c>
      <c r="C1042" s="211" t="s">
        <v>496</v>
      </c>
      <c r="D1042" s="211">
        <v>504183738</v>
      </c>
      <c r="E1042" s="211">
        <v>1060</v>
      </c>
      <c r="F1042" s="211">
        <v>1271</v>
      </c>
      <c r="G1042" s="211">
        <v>1004</v>
      </c>
      <c r="I1042" s="211" t="s">
        <v>2404</v>
      </c>
      <c r="J1042" s="212" t="s">
        <v>638</v>
      </c>
      <c r="K1042" s="211" t="s">
        <v>524</v>
      </c>
      <c r="L1042" s="211" t="s">
        <v>2442</v>
      </c>
      <c r="AD1042" s="213"/>
    </row>
    <row r="1043" spans="1:30" s="211" customFormat="1" x14ac:dyDescent="0.25">
      <c r="A1043" s="211" t="s">
        <v>117</v>
      </c>
      <c r="B1043" s="211">
        <v>959</v>
      </c>
      <c r="C1043" s="211" t="s">
        <v>496</v>
      </c>
      <c r="D1043" s="211">
        <v>504183739</v>
      </c>
      <c r="E1043" s="211">
        <v>1060</v>
      </c>
      <c r="F1043" s="211">
        <v>1274</v>
      </c>
      <c r="G1043" s="211">
        <v>1004</v>
      </c>
      <c r="I1043" s="211" t="s">
        <v>2405</v>
      </c>
      <c r="J1043" s="212" t="s">
        <v>638</v>
      </c>
      <c r="K1043" s="211" t="s">
        <v>524</v>
      </c>
      <c r="L1043" s="211" t="s">
        <v>2443</v>
      </c>
      <c r="AD1043" s="213"/>
    </row>
    <row r="1044" spans="1:30" s="211" customFormat="1" x14ac:dyDescent="0.25">
      <c r="A1044" s="211" t="s">
        <v>117</v>
      </c>
      <c r="B1044" s="211">
        <v>959</v>
      </c>
      <c r="C1044" s="211" t="s">
        <v>496</v>
      </c>
      <c r="D1044" s="211">
        <v>504183740</v>
      </c>
      <c r="E1044" s="211">
        <v>1060</v>
      </c>
      <c r="F1044" s="211">
        <v>1274</v>
      </c>
      <c r="G1044" s="211">
        <v>1004</v>
      </c>
      <c r="I1044" s="211" t="s">
        <v>2406</v>
      </c>
      <c r="J1044" s="212" t="s">
        <v>638</v>
      </c>
      <c r="K1044" s="211" t="s">
        <v>524</v>
      </c>
      <c r="L1044" s="211" t="s">
        <v>2444</v>
      </c>
      <c r="AD1044" s="213"/>
    </row>
    <row r="1045" spans="1:30" s="211" customFormat="1" x14ac:dyDescent="0.25">
      <c r="A1045" s="211" t="s">
        <v>117</v>
      </c>
      <c r="B1045" s="211">
        <v>959</v>
      </c>
      <c r="C1045" s="211" t="s">
        <v>496</v>
      </c>
      <c r="D1045" s="211">
        <v>504183741</v>
      </c>
      <c r="E1045" s="211">
        <v>1060</v>
      </c>
      <c r="F1045" s="211">
        <v>1274</v>
      </c>
      <c r="G1045" s="211">
        <v>1004</v>
      </c>
      <c r="I1045" s="211" t="s">
        <v>2407</v>
      </c>
      <c r="J1045" s="212" t="s">
        <v>638</v>
      </c>
      <c r="K1045" s="211" t="s">
        <v>524</v>
      </c>
      <c r="L1045" s="211" t="s">
        <v>2445</v>
      </c>
      <c r="AD1045" s="213"/>
    </row>
    <row r="1046" spans="1:30" s="211" customFormat="1" x14ac:dyDescent="0.25">
      <c r="A1046" s="211" t="s">
        <v>117</v>
      </c>
      <c r="B1046" s="211">
        <v>959</v>
      </c>
      <c r="C1046" s="211" t="s">
        <v>496</v>
      </c>
      <c r="D1046" s="211">
        <v>504183743</v>
      </c>
      <c r="E1046" s="211">
        <v>1060</v>
      </c>
      <c r="F1046" s="211">
        <v>1274</v>
      </c>
      <c r="G1046" s="211">
        <v>1004</v>
      </c>
      <c r="I1046" s="211" t="s">
        <v>2408</v>
      </c>
      <c r="J1046" s="212" t="s">
        <v>638</v>
      </c>
      <c r="K1046" s="211" t="s">
        <v>524</v>
      </c>
      <c r="L1046" s="211" t="s">
        <v>2446</v>
      </c>
      <c r="AD1046" s="213"/>
    </row>
    <row r="1047" spans="1:30" s="211" customFormat="1" x14ac:dyDescent="0.25">
      <c r="A1047" s="211" t="s">
        <v>117</v>
      </c>
      <c r="B1047" s="211">
        <v>959</v>
      </c>
      <c r="C1047" s="211" t="s">
        <v>496</v>
      </c>
      <c r="D1047" s="211">
        <v>504183744</v>
      </c>
      <c r="E1047" s="211">
        <v>1060</v>
      </c>
      <c r="F1047" s="211">
        <v>1271</v>
      </c>
      <c r="G1047" s="211">
        <v>1004</v>
      </c>
      <c r="I1047" s="211" t="s">
        <v>2409</v>
      </c>
      <c r="J1047" s="212" t="s">
        <v>638</v>
      </c>
      <c r="K1047" s="211" t="s">
        <v>524</v>
      </c>
      <c r="L1047" s="211" t="s">
        <v>2447</v>
      </c>
      <c r="AD1047" s="213"/>
    </row>
    <row r="1048" spans="1:30" s="211" customFormat="1" x14ac:dyDescent="0.25">
      <c r="A1048" s="211" t="s">
        <v>117</v>
      </c>
      <c r="B1048" s="211">
        <v>959</v>
      </c>
      <c r="C1048" s="211" t="s">
        <v>496</v>
      </c>
      <c r="D1048" s="211">
        <v>504183745</v>
      </c>
      <c r="E1048" s="211">
        <v>1060</v>
      </c>
      <c r="F1048" s="211">
        <v>1242</v>
      </c>
      <c r="G1048" s="211">
        <v>1004</v>
      </c>
      <c r="I1048" s="211" t="s">
        <v>2410</v>
      </c>
      <c r="J1048" s="212" t="s">
        <v>638</v>
      </c>
      <c r="K1048" s="211" t="s">
        <v>524</v>
      </c>
      <c r="L1048" s="211" t="s">
        <v>2448</v>
      </c>
      <c r="AD1048" s="213"/>
    </row>
    <row r="1049" spans="1:30" s="211" customFormat="1" x14ac:dyDescent="0.25">
      <c r="A1049" s="211" t="s">
        <v>117</v>
      </c>
      <c r="B1049" s="211">
        <v>959</v>
      </c>
      <c r="C1049" s="211" t="s">
        <v>496</v>
      </c>
      <c r="D1049" s="211">
        <v>504183746</v>
      </c>
      <c r="E1049" s="211">
        <v>1060</v>
      </c>
      <c r="F1049" s="211">
        <v>1271</v>
      </c>
      <c r="G1049" s="211">
        <v>1004</v>
      </c>
      <c r="I1049" s="211" t="s">
        <v>2411</v>
      </c>
      <c r="J1049" s="212" t="s">
        <v>638</v>
      </c>
      <c r="K1049" s="211" t="s">
        <v>524</v>
      </c>
      <c r="L1049" s="211" t="s">
        <v>2449</v>
      </c>
      <c r="AD1049" s="213"/>
    </row>
    <row r="1050" spans="1:30" s="211" customFormat="1" x14ac:dyDescent="0.25">
      <c r="A1050" s="211" t="s">
        <v>117</v>
      </c>
      <c r="B1050" s="211">
        <v>959</v>
      </c>
      <c r="C1050" s="211" t="s">
        <v>496</v>
      </c>
      <c r="D1050" s="211">
        <v>504183747</v>
      </c>
      <c r="E1050" s="211">
        <v>1060</v>
      </c>
      <c r="F1050" s="211">
        <v>1271</v>
      </c>
      <c r="G1050" s="211">
        <v>1004</v>
      </c>
      <c r="I1050" s="211" t="s">
        <v>2412</v>
      </c>
      <c r="J1050" s="212" t="s">
        <v>638</v>
      </c>
      <c r="K1050" s="211" t="s">
        <v>524</v>
      </c>
      <c r="L1050" s="211" t="s">
        <v>2450</v>
      </c>
      <c r="AD1050" s="213"/>
    </row>
    <row r="1051" spans="1:30" s="211" customFormat="1" x14ac:dyDescent="0.25">
      <c r="A1051" s="211" t="s">
        <v>117</v>
      </c>
      <c r="B1051" s="211">
        <v>959</v>
      </c>
      <c r="C1051" s="211" t="s">
        <v>496</v>
      </c>
      <c r="D1051" s="211">
        <v>504183748</v>
      </c>
      <c r="E1051" s="211">
        <v>1060</v>
      </c>
      <c r="F1051" s="211">
        <v>1271</v>
      </c>
      <c r="G1051" s="211">
        <v>1004</v>
      </c>
      <c r="I1051" s="211" t="s">
        <v>2413</v>
      </c>
      <c r="J1051" s="212" t="s">
        <v>638</v>
      </c>
      <c r="K1051" s="211" t="s">
        <v>524</v>
      </c>
      <c r="L1051" s="211" t="s">
        <v>2451</v>
      </c>
      <c r="AD1051" s="213"/>
    </row>
    <row r="1052" spans="1:30" s="211" customFormat="1" x14ac:dyDescent="0.25">
      <c r="A1052" s="211" t="s">
        <v>117</v>
      </c>
      <c r="B1052" s="211">
        <v>959</v>
      </c>
      <c r="C1052" s="211" t="s">
        <v>496</v>
      </c>
      <c r="D1052" s="211">
        <v>504183749</v>
      </c>
      <c r="E1052" s="211">
        <v>1060</v>
      </c>
      <c r="F1052" s="211">
        <v>1271</v>
      </c>
      <c r="G1052" s="211">
        <v>1004</v>
      </c>
      <c r="I1052" s="211" t="s">
        <v>2414</v>
      </c>
      <c r="J1052" s="212" t="s">
        <v>638</v>
      </c>
      <c r="K1052" s="211" t="s">
        <v>639</v>
      </c>
      <c r="L1052" s="211" t="s">
        <v>2469</v>
      </c>
      <c r="AD1052" s="213"/>
    </row>
    <row r="1053" spans="1:30" s="211" customFormat="1" x14ac:dyDescent="0.25">
      <c r="A1053" s="211" t="s">
        <v>117</v>
      </c>
      <c r="B1053" s="211">
        <v>959</v>
      </c>
      <c r="C1053" s="211" t="s">
        <v>496</v>
      </c>
      <c r="D1053" s="211">
        <v>504183750</v>
      </c>
      <c r="E1053" s="211">
        <v>1060</v>
      </c>
      <c r="F1053" s="211">
        <v>1271</v>
      </c>
      <c r="G1053" s="211">
        <v>1004</v>
      </c>
      <c r="I1053" s="211" t="s">
        <v>2415</v>
      </c>
      <c r="J1053" s="212" t="s">
        <v>638</v>
      </c>
      <c r="K1053" s="211" t="s">
        <v>524</v>
      </c>
      <c r="L1053" s="211" t="s">
        <v>2452</v>
      </c>
      <c r="AD1053" s="213"/>
    </row>
    <row r="1054" spans="1:30" s="211" customFormat="1" x14ac:dyDescent="0.25">
      <c r="A1054" s="211" t="s">
        <v>117</v>
      </c>
      <c r="B1054" s="211">
        <v>959</v>
      </c>
      <c r="C1054" s="211" t="s">
        <v>496</v>
      </c>
      <c r="D1054" s="211">
        <v>504183751</v>
      </c>
      <c r="E1054" s="211">
        <v>1060</v>
      </c>
      <c r="F1054" s="211">
        <v>1271</v>
      </c>
      <c r="G1054" s="211">
        <v>1004</v>
      </c>
      <c r="I1054" s="211" t="s">
        <v>2416</v>
      </c>
      <c r="J1054" s="212" t="s">
        <v>638</v>
      </c>
      <c r="K1054" s="211" t="s">
        <v>524</v>
      </c>
      <c r="L1054" s="211" t="s">
        <v>2453</v>
      </c>
      <c r="AD1054" s="213"/>
    </row>
    <row r="1055" spans="1:30" s="211" customFormat="1" x14ac:dyDescent="0.25">
      <c r="A1055" s="211" t="s">
        <v>117</v>
      </c>
      <c r="B1055" s="211">
        <v>959</v>
      </c>
      <c r="C1055" s="211" t="s">
        <v>496</v>
      </c>
      <c r="D1055" s="211">
        <v>504183752</v>
      </c>
      <c r="E1055" s="211">
        <v>1060</v>
      </c>
      <c r="F1055" s="211">
        <v>1274</v>
      </c>
      <c r="G1055" s="211">
        <v>1004</v>
      </c>
      <c r="I1055" s="211" t="s">
        <v>2417</v>
      </c>
      <c r="J1055" s="212" t="s">
        <v>638</v>
      </c>
      <c r="K1055" s="211" t="s">
        <v>524</v>
      </c>
      <c r="L1055" s="211" t="s">
        <v>2454</v>
      </c>
      <c r="AD1055" s="213"/>
    </row>
    <row r="1056" spans="1:30" s="211" customFormat="1" x14ac:dyDescent="0.25">
      <c r="A1056" s="211" t="s">
        <v>117</v>
      </c>
      <c r="B1056" s="211">
        <v>959</v>
      </c>
      <c r="C1056" s="211" t="s">
        <v>496</v>
      </c>
      <c r="D1056" s="211">
        <v>504183753</v>
      </c>
      <c r="E1056" s="211">
        <v>1060</v>
      </c>
      <c r="F1056" s="211">
        <v>1274</v>
      </c>
      <c r="G1056" s="211">
        <v>1004</v>
      </c>
      <c r="I1056" s="211" t="s">
        <v>2418</v>
      </c>
      <c r="J1056" s="212" t="s">
        <v>638</v>
      </c>
      <c r="K1056" s="211" t="s">
        <v>524</v>
      </c>
      <c r="L1056" s="211" t="s">
        <v>2455</v>
      </c>
      <c r="AD1056" s="213"/>
    </row>
    <row r="1057" spans="1:30" s="211" customFormat="1" x14ac:dyDescent="0.25">
      <c r="A1057" s="211" t="s">
        <v>117</v>
      </c>
      <c r="B1057" s="211">
        <v>959</v>
      </c>
      <c r="C1057" s="211" t="s">
        <v>496</v>
      </c>
      <c r="D1057" s="211">
        <v>504183755</v>
      </c>
      <c r="E1057" s="211">
        <v>1060</v>
      </c>
      <c r="F1057" s="211">
        <v>1271</v>
      </c>
      <c r="G1057" s="211">
        <v>1004</v>
      </c>
      <c r="I1057" s="211" t="s">
        <v>2419</v>
      </c>
      <c r="J1057" s="212" t="s">
        <v>638</v>
      </c>
      <c r="K1057" s="211" t="s">
        <v>524</v>
      </c>
      <c r="L1057" s="211" t="s">
        <v>2456</v>
      </c>
      <c r="AD1057" s="213"/>
    </row>
    <row r="1058" spans="1:30" s="211" customFormat="1" x14ac:dyDescent="0.25">
      <c r="A1058" s="211" t="s">
        <v>117</v>
      </c>
      <c r="B1058" s="211">
        <v>959</v>
      </c>
      <c r="C1058" s="211" t="s">
        <v>496</v>
      </c>
      <c r="D1058" s="211">
        <v>504183756</v>
      </c>
      <c r="E1058" s="211">
        <v>1060</v>
      </c>
      <c r="F1058" s="211">
        <v>1271</v>
      </c>
      <c r="G1058" s="211">
        <v>1004</v>
      </c>
      <c r="I1058" s="211" t="s">
        <v>2420</v>
      </c>
      <c r="J1058" s="212" t="s">
        <v>638</v>
      </c>
      <c r="K1058" s="211" t="s">
        <v>524</v>
      </c>
      <c r="L1058" s="211" t="s">
        <v>2457</v>
      </c>
      <c r="AD1058" s="213"/>
    </row>
    <row r="1059" spans="1:30" s="211" customFormat="1" x14ac:dyDescent="0.25">
      <c r="A1059" s="211" t="s">
        <v>117</v>
      </c>
      <c r="B1059" s="211">
        <v>959</v>
      </c>
      <c r="C1059" s="211" t="s">
        <v>496</v>
      </c>
      <c r="D1059" s="211">
        <v>504183757</v>
      </c>
      <c r="E1059" s="211">
        <v>1060</v>
      </c>
      <c r="F1059" s="211">
        <v>1271</v>
      </c>
      <c r="G1059" s="211">
        <v>1004</v>
      </c>
      <c r="I1059" s="211" t="s">
        <v>2421</v>
      </c>
      <c r="J1059" s="212" t="s">
        <v>638</v>
      </c>
      <c r="K1059" s="211" t="s">
        <v>524</v>
      </c>
      <c r="L1059" s="211" t="s">
        <v>2458</v>
      </c>
      <c r="AD1059" s="213"/>
    </row>
    <row r="1060" spans="1:30" s="211" customFormat="1" x14ac:dyDescent="0.25">
      <c r="A1060" s="211" t="s">
        <v>117</v>
      </c>
      <c r="B1060" s="211">
        <v>959</v>
      </c>
      <c r="C1060" s="211" t="s">
        <v>496</v>
      </c>
      <c r="D1060" s="211">
        <v>504183758</v>
      </c>
      <c r="E1060" s="211">
        <v>1060</v>
      </c>
      <c r="F1060" s="211">
        <v>1271</v>
      </c>
      <c r="G1060" s="211">
        <v>1004</v>
      </c>
      <c r="I1060" s="211" t="s">
        <v>2422</v>
      </c>
      <c r="J1060" s="212" t="s">
        <v>638</v>
      </c>
      <c r="K1060" s="211" t="s">
        <v>524</v>
      </c>
      <c r="L1060" s="211" t="s">
        <v>2459</v>
      </c>
      <c r="AD1060" s="213"/>
    </row>
    <row r="1061" spans="1:30" s="211" customFormat="1" x14ac:dyDescent="0.25">
      <c r="A1061" s="211" t="s">
        <v>117</v>
      </c>
      <c r="B1061" s="211">
        <v>959</v>
      </c>
      <c r="C1061" s="211" t="s">
        <v>496</v>
      </c>
      <c r="D1061" s="211">
        <v>504183759</v>
      </c>
      <c r="E1061" s="211">
        <v>1060</v>
      </c>
      <c r="F1061" s="211">
        <v>1274</v>
      </c>
      <c r="G1061" s="211">
        <v>1004</v>
      </c>
      <c r="I1061" s="211" t="s">
        <v>2423</v>
      </c>
      <c r="J1061" s="212" t="s">
        <v>638</v>
      </c>
      <c r="K1061" s="211" t="s">
        <v>524</v>
      </c>
      <c r="L1061" s="211" t="s">
        <v>2460</v>
      </c>
      <c r="AD1061" s="213"/>
    </row>
    <row r="1062" spans="1:30" s="211" customFormat="1" x14ac:dyDescent="0.25">
      <c r="A1062" s="211" t="s">
        <v>117</v>
      </c>
      <c r="B1062" s="211">
        <v>959</v>
      </c>
      <c r="C1062" s="211" t="s">
        <v>496</v>
      </c>
      <c r="D1062" s="211">
        <v>504183760</v>
      </c>
      <c r="E1062" s="211">
        <v>1060</v>
      </c>
      <c r="F1062" s="211">
        <v>1271</v>
      </c>
      <c r="G1062" s="211">
        <v>1004</v>
      </c>
      <c r="I1062" s="211" t="s">
        <v>2424</v>
      </c>
      <c r="J1062" s="212" t="s">
        <v>638</v>
      </c>
      <c r="K1062" s="211" t="s">
        <v>524</v>
      </c>
      <c r="L1062" s="211" t="s">
        <v>2461</v>
      </c>
      <c r="AD1062" s="213"/>
    </row>
    <row r="1063" spans="1:30" s="211" customFormat="1" x14ac:dyDescent="0.25">
      <c r="A1063" s="211" t="s">
        <v>117</v>
      </c>
      <c r="B1063" s="211">
        <v>959</v>
      </c>
      <c r="C1063" s="211" t="s">
        <v>496</v>
      </c>
      <c r="D1063" s="211">
        <v>504183761</v>
      </c>
      <c r="E1063" s="211">
        <v>1060</v>
      </c>
      <c r="F1063" s="211">
        <v>1242</v>
      </c>
      <c r="G1063" s="211">
        <v>1004</v>
      </c>
      <c r="I1063" s="211" t="s">
        <v>2425</v>
      </c>
      <c r="J1063" s="212" t="s">
        <v>638</v>
      </c>
      <c r="K1063" s="211" t="s">
        <v>524</v>
      </c>
      <c r="L1063" s="211" t="s">
        <v>2462</v>
      </c>
      <c r="AD1063" s="213"/>
    </row>
    <row r="1064" spans="1:30" s="211" customFormat="1" x14ac:dyDescent="0.25">
      <c r="A1064" s="211" t="s">
        <v>117</v>
      </c>
      <c r="B1064" s="211">
        <v>959</v>
      </c>
      <c r="C1064" s="211" t="s">
        <v>496</v>
      </c>
      <c r="D1064" s="211">
        <v>504183762</v>
      </c>
      <c r="E1064" s="211">
        <v>1060</v>
      </c>
      <c r="F1064" s="211">
        <v>1271</v>
      </c>
      <c r="G1064" s="211">
        <v>1004</v>
      </c>
      <c r="I1064" s="211" t="s">
        <v>2426</v>
      </c>
      <c r="J1064" s="212" t="s">
        <v>638</v>
      </c>
      <c r="K1064" s="211" t="s">
        <v>524</v>
      </c>
      <c r="L1064" s="211" t="s">
        <v>2463</v>
      </c>
      <c r="AD1064" s="213"/>
    </row>
    <row r="1065" spans="1:30" s="211" customFormat="1" x14ac:dyDescent="0.25">
      <c r="A1065" s="211" t="s">
        <v>117</v>
      </c>
      <c r="B1065" s="211">
        <v>959</v>
      </c>
      <c r="C1065" s="211" t="s">
        <v>496</v>
      </c>
      <c r="D1065" s="211">
        <v>504183763</v>
      </c>
      <c r="E1065" s="211">
        <v>1060</v>
      </c>
      <c r="F1065" s="211">
        <v>1242</v>
      </c>
      <c r="G1065" s="211">
        <v>1004</v>
      </c>
      <c r="I1065" s="211" t="s">
        <v>2427</v>
      </c>
      <c r="J1065" s="212" t="s">
        <v>638</v>
      </c>
      <c r="K1065" s="211" t="s">
        <v>524</v>
      </c>
      <c r="L1065" s="211" t="s">
        <v>2464</v>
      </c>
      <c r="AD1065" s="213"/>
    </row>
    <row r="1066" spans="1:30" s="211" customFormat="1" x14ac:dyDescent="0.25">
      <c r="A1066" s="211" t="s">
        <v>117</v>
      </c>
      <c r="B1066" s="211">
        <v>959</v>
      </c>
      <c r="C1066" s="211" t="s">
        <v>496</v>
      </c>
      <c r="D1066" s="211">
        <v>504183764</v>
      </c>
      <c r="E1066" s="211">
        <v>1060</v>
      </c>
      <c r="F1066" s="211">
        <v>1274</v>
      </c>
      <c r="G1066" s="211">
        <v>1004</v>
      </c>
      <c r="I1066" s="211" t="s">
        <v>2428</v>
      </c>
      <c r="J1066" s="212" t="s">
        <v>638</v>
      </c>
      <c r="K1066" s="211" t="s">
        <v>524</v>
      </c>
      <c r="L1066" s="211" t="s">
        <v>2465</v>
      </c>
      <c r="AD1066" s="213"/>
    </row>
    <row r="1067" spans="1:30" s="211" customFormat="1" x14ac:dyDescent="0.25">
      <c r="A1067" s="211" t="s">
        <v>117</v>
      </c>
      <c r="B1067" s="211">
        <v>959</v>
      </c>
      <c r="C1067" s="211" t="s">
        <v>496</v>
      </c>
      <c r="D1067" s="211">
        <v>504183765</v>
      </c>
      <c r="E1067" s="211">
        <v>1060</v>
      </c>
      <c r="F1067" s="211">
        <v>1271</v>
      </c>
      <c r="G1067" s="211">
        <v>1004</v>
      </c>
      <c r="I1067" s="211" t="s">
        <v>2429</v>
      </c>
      <c r="J1067" s="212" t="s">
        <v>638</v>
      </c>
      <c r="K1067" s="211" t="s">
        <v>524</v>
      </c>
      <c r="L1067" s="211" t="s">
        <v>2466</v>
      </c>
      <c r="AD1067" s="213"/>
    </row>
    <row r="1068" spans="1:30" s="211" customFormat="1" x14ac:dyDescent="0.25">
      <c r="A1068" s="211" t="s">
        <v>117</v>
      </c>
      <c r="B1068" s="211">
        <v>959</v>
      </c>
      <c r="C1068" s="211" t="s">
        <v>496</v>
      </c>
      <c r="D1068" s="211">
        <v>504183766</v>
      </c>
      <c r="E1068" s="211">
        <v>1060</v>
      </c>
      <c r="F1068" s="211">
        <v>1271</v>
      </c>
      <c r="G1068" s="211">
        <v>1004</v>
      </c>
      <c r="I1068" s="211" t="s">
        <v>2430</v>
      </c>
      <c r="J1068" s="212" t="s">
        <v>638</v>
      </c>
      <c r="K1068" s="211" t="s">
        <v>524</v>
      </c>
      <c r="L1068" s="211" t="s">
        <v>2467</v>
      </c>
      <c r="AD1068" s="213"/>
    </row>
    <row r="1069" spans="1:30" s="211" customFormat="1" x14ac:dyDescent="0.25">
      <c r="A1069" s="211" t="s">
        <v>117</v>
      </c>
      <c r="B1069" s="211">
        <v>959</v>
      </c>
      <c r="C1069" s="211" t="s">
        <v>496</v>
      </c>
      <c r="D1069" s="211">
        <v>504183767</v>
      </c>
      <c r="E1069" s="211">
        <v>1060</v>
      </c>
      <c r="F1069" s="211">
        <v>1271</v>
      </c>
      <c r="G1069" s="211">
        <v>1004</v>
      </c>
      <c r="I1069" s="211" t="s">
        <v>2431</v>
      </c>
      <c r="J1069" s="212" t="s">
        <v>638</v>
      </c>
      <c r="K1069" s="211" t="s">
        <v>524</v>
      </c>
      <c r="L1069" s="211" t="s">
        <v>2468</v>
      </c>
      <c r="AD1069" s="213"/>
    </row>
    <row r="1070" spans="1:30" s="211" customFormat="1" x14ac:dyDescent="0.25">
      <c r="A1070" s="211" t="s">
        <v>117</v>
      </c>
      <c r="B1070" s="211">
        <v>960</v>
      </c>
      <c r="C1070" s="211" t="s">
        <v>497</v>
      </c>
      <c r="D1070" s="211">
        <v>504112936</v>
      </c>
      <c r="E1070" s="211">
        <v>1060</v>
      </c>
      <c r="F1070" s="211">
        <v>1271</v>
      </c>
      <c r="G1070" s="211">
        <v>1004</v>
      </c>
      <c r="I1070" s="211" t="s">
        <v>3382</v>
      </c>
      <c r="J1070" s="212" t="s">
        <v>638</v>
      </c>
      <c r="K1070" s="211" t="s">
        <v>524</v>
      </c>
      <c r="L1070" s="211" t="s">
        <v>3419</v>
      </c>
      <c r="AD1070" s="213"/>
    </row>
    <row r="1071" spans="1:30" s="211" customFormat="1" x14ac:dyDescent="0.25">
      <c r="A1071" s="211" t="s">
        <v>117</v>
      </c>
      <c r="B1071" s="211">
        <v>971</v>
      </c>
      <c r="C1071" s="211" t="s">
        <v>498</v>
      </c>
      <c r="D1071" s="211">
        <v>191966422</v>
      </c>
      <c r="E1071" s="211">
        <v>1060</v>
      </c>
      <c r="F1071" s="211">
        <v>1271</v>
      </c>
      <c r="G1071" s="211">
        <v>1004</v>
      </c>
      <c r="I1071" s="211" t="s">
        <v>745</v>
      </c>
      <c r="J1071" s="212" t="s">
        <v>638</v>
      </c>
      <c r="K1071" s="211" t="s">
        <v>524</v>
      </c>
      <c r="L1071" s="211" t="s">
        <v>905</v>
      </c>
      <c r="AD1071" s="213"/>
    </row>
    <row r="1072" spans="1:30" s="211" customFormat="1" x14ac:dyDescent="0.25">
      <c r="A1072" s="211" t="s">
        <v>117</v>
      </c>
      <c r="B1072" s="211">
        <v>971</v>
      </c>
      <c r="C1072" s="211" t="s">
        <v>498</v>
      </c>
      <c r="D1072" s="211">
        <v>191966424</v>
      </c>
      <c r="E1072" s="211">
        <v>1060</v>
      </c>
      <c r="F1072" s="211">
        <v>1271</v>
      </c>
      <c r="G1072" s="211">
        <v>1004</v>
      </c>
      <c r="I1072" s="211" t="s">
        <v>746</v>
      </c>
      <c r="J1072" s="212" t="s">
        <v>638</v>
      </c>
      <c r="K1072" s="211" t="s">
        <v>524</v>
      </c>
      <c r="L1072" s="211" t="s">
        <v>906</v>
      </c>
      <c r="AD1072" s="213"/>
    </row>
    <row r="1073" spans="1:30" s="211" customFormat="1" x14ac:dyDescent="0.25">
      <c r="A1073" s="211" t="s">
        <v>117</v>
      </c>
      <c r="B1073" s="211">
        <v>971</v>
      </c>
      <c r="C1073" s="211" t="s">
        <v>498</v>
      </c>
      <c r="D1073" s="211">
        <v>192000643</v>
      </c>
      <c r="E1073" s="211">
        <v>1020</v>
      </c>
      <c r="F1073" s="211">
        <v>1110</v>
      </c>
      <c r="G1073" s="211">
        <v>1004</v>
      </c>
      <c r="I1073" s="211" t="s">
        <v>3628</v>
      </c>
      <c r="J1073" s="212" t="s">
        <v>638</v>
      </c>
      <c r="K1073" s="211" t="s">
        <v>524</v>
      </c>
      <c r="L1073" s="211" t="s">
        <v>3705</v>
      </c>
      <c r="AD1073" s="213"/>
    </row>
    <row r="1074" spans="1:30" s="211" customFormat="1" x14ac:dyDescent="0.25">
      <c r="A1074" s="211" t="s">
        <v>117</v>
      </c>
      <c r="B1074" s="211">
        <v>975</v>
      </c>
      <c r="C1074" s="211" t="s">
        <v>501</v>
      </c>
      <c r="D1074" s="211">
        <v>191979391</v>
      </c>
      <c r="E1074" s="211">
        <v>1020</v>
      </c>
      <c r="F1074" s="211">
        <v>1110</v>
      </c>
      <c r="G1074" s="211">
        <v>1004</v>
      </c>
      <c r="I1074" s="211" t="s">
        <v>1879</v>
      </c>
      <c r="J1074" s="212" t="s">
        <v>638</v>
      </c>
      <c r="K1074" s="211" t="s">
        <v>524</v>
      </c>
      <c r="L1074" s="211" t="s">
        <v>1915</v>
      </c>
      <c r="AD1074" s="213"/>
    </row>
    <row r="1075" spans="1:30" s="211" customFormat="1" x14ac:dyDescent="0.25">
      <c r="A1075" s="211" t="s">
        <v>117</v>
      </c>
      <c r="B1075" s="211">
        <v>976</v>
      </c>
      <c r="C1075" s="211" t="s">
        <v>502</v>
      </c>
      <c r="D1075" s="211">
        <v>504056628</v>
      </c>
      <c r="E1075" s="211">
        <v>1060</v>
      </c>
      <c r="F1075" s="211">
        <v>1271</v>
      </c>
      <c r="G1075" s="211">
        <v>1004</v>
      </c>
      <c r="I1075" s="211" t="s">
        <v>3303</v>
      </c>
      <c r="J1075" s="212" t="s">
        <v>638</v>
      </c>
      <c r="K1075" s="211" t="s">
        <v>524</v>
      </c>
      <c r="L1075" s="211" t="s">
        <v>3348</v>
      </c>
      <c r="AD1075" s="213"/>
    </row>
    <row r="1076" spans="1:30" s="211" customFormat="1" x14ac:dyDescent="0.25">
      <c r="A1076" s="211" t="s">
        <v>117</v>
      </c>
      <c r="B1076" s="211">
        <v>979</v>
      </c>
      <c r="C1076" s="211" t="s">
        <v>504</v>
      </c>
      <c r="D1076" s="211">
        <v>192002950</v>
      </c>
      <c r="E1076" s="211">
        <v>1080</v>
      </c>
      <c r="F1076" s="211">
        <v>1242</v>
      </c>
      <c r="G1076" s="211">
        <v>1003</v>
      </c>
      <c r="I1076" s="211" t="s">
        <v>2331</v>
      </c>
      <c r="J1076" s="212" t="s">
        <v>638</v>
      </c>
      <c r="K1076" s="211" t="s">
        <v>639</v>
      </c>
      <c r="L1076" s="211" t="s">
        <v>2337</v>
      </c>
      <c r="AD1076" s="213"/>
    </row>
    <row r="1077" spans="1:30" s="211" customFormat="1" x14ac:dyDescent="0.25">
      <c r="A1077" s="211" t="s">
        <v>117</v>
      </c>
      <c r="B1077" s="211">
        <v>979</v>
      </c>
      <c r="C1077" s="211" t="s">
        <v>504</v>
      </c>
      <c r="D1077" s="211">
        <v>192045889</v>
      </c>
      <c r="E1077" s="211">
        <v>1080</v>
      </c>
      <c r="F1077" s="211">
        <v>1242</v>
      </c>
      <c r="G1077" s="211">
        <v>1004</v>
      </c>
      <c r="I1077" s="211" t="s">
        <v>2997</v>
      </c>
      <c r="J1077" s="212" t="s">
        <v>638</v>
      </c>
      <c r="K1077" s="211" t="s">
        <v>524</v>
      </c>
      <c r="L1077" s="211" t="s">
        <v>3006</v>
      </c>
      <c r="AD1077" s="213"/>
    </row>
    <row r="1078" spans="1:30" s="211" customFormat="1" x14ac:dyDescent="0.25">
      <c r="A1078" s="211" t="s">
        <v>117</v>
      </c>
      <c r="B1078" s="211">
        <v>980</v>
      </c>
      <c r="C1078" s="211" t="s">
        <v>505</v>
      </c>
      <c r="D1078" s="211">
        <v>504048554</v>
      </c>
      <c r="E1078" s="211">
        <v>1060</v>
      </c>
      <c r="F1078" s="211">
        <v>1242</v>
      </c>
      <c r="G1078" s="211">
        <v>1004</v>
      </c>
      <c r="I1078" s="211" t="s">
        <v>3559</v>
      </c>
      <c r="J1078" s="212" t="s">
        <v>638</v>
      </c>
      <c r="K1078" s="211" t="s">
        <v>524</v>
      </c>
      <c r="L1078" s="211" t="s">
        <v>3591</v>
      </c>
      <c r="AD1078" s="213"/>
    </row>
    <row r="1079" spans="1:30" s="211" customFormat="1" x14ac:dyDescent="0.25">
      <c r="A1079" s="211" t="s">
        <v>117</v>
      </c>
      <c r="B1079" s="211">
        <v>981</v>
      </c>
      <c r="C1079" s="211" t="s">
        <v>506</v>
      </c>
      <c r="D1079" s="211">
        <v>191960286</v>
      </c>
      <c r="E1079" s="211">
        <v>1060</v>
      </c>
      <c r="F1079" s="211">
        <v>1242</v>
      </c>
      <c r="G1079" s="211">
        <v>1004</v>
      </c>
      <c r="I1079" s="211" t="s">
        <v>2380</v>
      </c>
      <c r="J1079" s="212" t="s">
        <v>638</v>
      </c>
      <c r="K1079" s="211" t="s">
        <v>524</v>
      </c>
      <c r="L1079" s="211" t="s">
        <v>2388</v>
      </c>
      <c r="AD1079" s="213"/>
    </row>
    <row r="1080" spans="1:30" s="211" customFormat="1" x14ac:dyDescent="0.25">
      <c r="A1080" s="211" t="s">
        <v>117</v>
      </c>
      <c r="B1080" s="211">
        <v>981</v>
      </c>
      <c r="C1080" s="211" t="s">
        <v>506</v>
      </c>
      <c r="D1080" s="211">
        <v>191971103</v>
      </c>
      <c r="E1080" s="211">
        <v>1020</v>
      </c>
      <c r="F1080" s="211">
        <v>1110</v>
      </c>
      <c r="G1080" s="211">
        <v>1004</v>
      </c>
      <c r="I1080" s="211" t="s">
        <v>2998</v>
      </c>
      <c r="J1080" s="212" t="s">
        <v>638</v>
      </c>
      <c r="K1080" s="211" t="s">
        <v>524</v>
      </c>
      <c r="L1080" s="211" t="s">
        <v>3007</v>
      </c>
      <c r="AD1080" s="213"/>
    </row>
    <row r="1081" spans="1:30" s="211" customFormat="1" x14ac:dyDescent="0.25">
      <c r="A1081" s="211" t="s">
        <v>117</v>
      </c>
      <c r="B1081" s="211">
        <v>981</v>
      </c>
      <c r="C1081" s="211" t="s">
        <v>506</v>
      </c>
      <c r="D1081" s="211">
        <v>191971104</v>
      </c>
      <c r="E1081" s="211">
        <v>1020</v>
      </c>
      <c r="F1081" s="211">
        <v>1110</v>
      </c>
      <c r="G1081" s="211">
        <v>1004</v>
      </c>
      <c r="I1081" s="211" t="s">
        <v>2561</v>
      </c>
      <c r="J1081" s="212" t="s">
        <v>638</v>
      </c>
      <c r="K1081" s="211" t="s">
        <v>524</v>
      </c>
      <c r="L1081" s="211" t="s">
        <v>2571</v>
      </c>
      <c r="AD1081" s="213"/>
    </row>
    <row r="1082" spans="1:30" s="211" customFormat="1" x14ac:dyDescent="0.25">
      <c r="A1082" s="211" t="s">
        <v>117</v>
      </c>
      <c r="B1082" s="211">
        <v>981</v>
      </c>
      <c r="C1082" s="211" t="s">
        <v>506</v>
      </c>
      <c r="D1082" s="211">
        <v>192029652</v>
      </c>
      <c r="E1082" s="211">
        <v>1080</v>
      </c>
      <c r="F1082" s="211">
        <v>1252</v>
      </c>
      <c r="G1082" s="211">
        <v>1003</v>
      </c>
      <c r="I1082" s="211" t="s">
        <v>2858</v>
      </c>
      <c r="J1082" s="212" t="s">
        <v>638</v>
      </c>
      <c r="K1082" s="211" t="s">
        <v>524</v>
      </c>
      <c r="L1082" s="211" t="s">
        <v>2881</v>
      </c>
      <c r="AD1082" s="213"/>
    </row>
    <row r="1083" spans="1:30" s="211" customFormat="1" x14ac:dyDescent="0.25">
      <c r="A1083" s="211" t="s">
        <v>117</v>
      </c>
      <c r="B1083" s="211">
        <v>981</v>
      </c>
      <c r="C1083" s="211" t="s">
        <v>506</v>
      </c>
      <c r="D1083" s="211">
        <v>192052347</v>
      </c>
      <c r="E1083" s="211">
        <v>1060</v>
      </c>
      <c r="F1083" s="211">
        <v>1242</v>
      </c>
      <c r="G1083" s="211">
        <v>1004</v>
      </c>
      <c r="I1083" s="211" t="s">
        <v>3802</v>
      </c>
      <c r="J1083" s="212" t="s">
        <v>638</v>
      </c>
      <c r="K1083" s="211" t="s">
        <v>524</v>
      </c>
      <c r="L1083" s="211" t="s">
        <v>3839</v>
      </c>
      <c r="AD1083" s="213"/>
    </row>
    <row r="1084" spans="1:30" s="211" customFormat="1" x14ac:dyDescent="0.25">
      <c r="A1084" s="211" t="s">
        <v>117</v>
      </c>
      <c r="B1084" s="211">
        <v>982</v>
      </c>
      <c r="C1084" s="211" t="s">
        <v>507</v>
      </c>
      <c r="D1084" s="211">
        <v>191956552</v>
      </c>
      <c r="E1084" s="211">
        <v>1080</v>
      </c>
      <c r="F1084" s="211">
        <v>1242</v>
      </c>
      <c r="G1084" s="211">
        <v>1004</v>
      </c>
      <c r="I1084" s="211" t="s">
        <v>1375</v>
      </c>
      <c r="J1084" s="212" t="s">
        <v>638</v>
      </c>
      <c r="K1084" s="211" t="s">
        <v>639</v>
      </c>
      <c r="L1084" s="211" t="s">
        <v>1832</v>
      </c>
      <c r="AD1084" s="213"/>
    </row>
    <row r="1085" spans="1:30" s="211" customFormat="1" x14ac:dyDescent="0.25">
      <c r="A1085" s="211" t="s">
        <v>117</v>
      </c>
      <c r="B1085" s="211">
        <v>982</v>
      </c>
      <c r="C1085" s="211" t="s">
        <v>507</v>
      </c>
      <c r="D1085" s="211">
        <v>191963979</v>
      </c>
      <c r="E1085" s="211">
        <v>1060</v>
      </c>
      <c r="F1085" s="211">
        <v>1242</v>
      </c>
      <c r="G1085" s="211">
        <v>1004</v>
      </c>
      <c r="I1085" s="211" t="s">
        <v>1376</v>
      </c>
      <c r="J1085" s="212" t="s">
        <v>638</v>
      </c>
      <c r="K1085" s="211" t="s">
        <v>524</v>
      </c>
      <c r="L1085" s="211" t="s">
        <v>1416</v>
      </c>
      <c r="AD1085" s="213"/>
    </row>
    <row r="1086" spans="1:30" s="211" customFormat="1" x14ac:dyDescent="0.25">
      <c r="A1086" s="211" t="s">
        <v>117</v>
      </c>
      <c r="B1086" s="211">
        <v>983</v>
      </c>
      <c r="C1086" s="211" t="s">
        <v>508</v>
      </c>
      <c r="D1086" s="211">
        <v>191956664</v>
      </c>
      <c r="E1086" s="211">
        <v>1080</v>
      </c>
      <c r="F1086" s="211">
        <v>1274</v>
      </c>
      <c r="G1086" s="211">
        <v>1004</v>
      </c>
      <c r="I1086" s="211" t="s">
        <v>2900</v>
      </c>
      <c r="J1086" s="212" t="s">
        <v>638</v>
      </c>
      <c r="K1086" s="211" t="s">
        <v>524</v>
      </c>
      <c r="L1086" s="211" t="s">
        <v>2921</v>
      </c>
      <c r="AD1086" s="213"/>
    </row>
    <row r="1087" spans="1:30" s="211" customFormat="1" x14ac:dyDescent="0.25">
      <c r="A1087" s="211" t="s">
        <v>117</v>
      </c>
      <c r="B1087" s="211">
        <v>985</v>
      </c>
      <c r="C1087" s="211" t="s">
        <v>509</v>
      </c>
      <c r="D1087" s="211">
        <v>192007849</v>
      </c>
      <c r="E1087" s="211">
        <v>1060</v>
      </c>
      <c r="F1087" s="211">
        <v>1242</v>
      </c>
      <c r="G1087" s="211">
        <v>1004</v>
      </c>
      <c r="I1087" s="211" t="s">
        <v>2089</v>
      </c>
      <c r="J1087" s="212" t="s">
        <v>638</v>
      </c>
      <c r="K1087" s="211" t="s">
        <v>524</v>
      </c>
      <c r="L1087" s="211" t="s">
        <v>2091</v>
      </c>
      <c r="AD1087" s="213"/>
    </row>
    <row r="1088" spans="1:30" s="211" customFormat="1" x14ac:dyDescent="0.25">
      <c r="A1088" s="211" t="s">
        <v>117</v>
      </c>
      <c r="B1088" s="211">
        <v>989</v>
      </c>
      <c r="C1088" s="211" t="s">
        <v>512</v>
      </c>
      <c r="D1088" s="211">
        <v>192049671</v>
      </c>
      <c r="E1088" s="211">
        <v>1060</v>
      </c>
      <c r="F1088" s="211">
        <v>1271</v>
      </c>
      <c r="G1088" s="211">
        <v>1004</v>
      </c>
      <c r="I1088" s="211" t="s">
        <v>3383</v>
      </c>
      <c r="J1088" s="212" t="s">
        <v>638</v>
      </c>
      <c r="K1088" s="211" t="s">
        <v>639</v>
      </c>
      <c r="L1088" s="211" t="s">
        <v>3425</v>
      </c>
      <c r="AD1088" s="213"/>
    </row>
    <row r="1089" spans="1:30" s="211" customFormat="1" x14ac:dyDescent="0.25">
      <c r="A1089" s="211" t="s">
        <v>117</v>
      </c>
      <c r="B1089" s="211">
        <v>991</v>
      </c>
      <c r="C1089" s="211" t="s">
        <v>514</v>
      </c>
      <c r="D1089" s="211">
        <v>191984865</v>
      </c>
      <c r="E1089" s="211">
        <v>1060</v>
      </c>
      <c r="F1089" s="211">
        <v>1271</v>
      </c>
      <c r="G1089" s="211">
        <v>1004</v>
      </c>
      <c r="I1089" s="211" t="s">
        <v>1562</v>
      </c>
      <c r="J1089" s="212" t="s">
        <v>638</v>
      </c>
      <c r="K1089" s="211" t="s">
        <v>524</v>
      </c>
      <c r="L1089" s="211" t="s">
        <v>1575</v>
      </c>
      <c r="AD1089" s="213"/>
    </row>
    <row r="1090" spans="1:30" s="211" customFormat="1" x14ac:dyDescent="0.25">
      <c r="A1090" s="211" t="s">
        <v>117</v>
      </c>
      <c r="B1090" s="211">
        <v>991</v>
      </c>
      <c r="C1090" s="211" t="s">
        <v>514</v>
      </c>
      <c r="D1090" s="211">
        <v>192051527</v>
      </c>
      <c r="E1090" s="211">
        <v>1080</v>
      </c>
      <c r="F1090" s="211">
        <v>1252</v>
      </c>
      <c r="G1090" s="211">
        <v>1004</v>
      </c>
      <c r="I1090" s="211" t="s">
        <v>3629</v>
      </c>
      <c r="J1090" s="212" t="s">
        <v>638</v>
      </c>
      <c r="K1090" s="211" t="s">
        <v>524</v>
      </c>
      <c r="L1090" s="211" t="s">
        <v>3706</v>
      </c>
      <c r="AD1090" s="213"/>
    </row>
    <row r="1091" spans="1:30" s="211" customFormat="1" x14ac:dyDescent="0.25">
      <c r="A1091" s="211" t="s">
        <v>117</v>
      </c>
      <c r="B1091" s="211">
        <v>991</v>
      </c>
      <c r="C1091" s="211" t="s">
        <v>514</v>
      </c>
      <c r="D1091" s="211">
        <v>192051530</v>
      </c>
      <c r="E1091" s="211">
        <v>1080</v>
      </c>
      <c r="F1091" s="211">
        <v>1252</v>
      </c>
      <c r="G1091" s="211">
        <v>1004</v>
      </c>
      <c r="I1091" s="211" t="s">
        <v>3630</v>
      </c>
      <c r="J1091" s="212" t="s">
        <v>638</v>
      </c>
      <c r="K1091" s="211" t="s">
        <v>524</v>
      </c>
      <c r="L1091" s="211" t="s">
        <v>3707</v>
      </c>
      <c r="AD1091" s="213"/>
    </row>
    <row r="1092" spans="1:30" s="211" customFormat="1" x14ac:dyDescent="0.25">
      <c r="A1092" s="211" t="s">
        <v>117</v>
      </c>
      <c r="B1092" s="211">
        <v>991</v>
      </c>
      <c r="C1092" s="211" t="s">
        <v>514</v>
      </c>
      <c r="D1092" s="211">
        <v>192051531</v>
      </c>
      <c r="E1092" s="211">
        <v>1080</v>
      </c>
      <c r="F1092" s="211">
        <v>1252</v>
      </c>
      <c r="G1092" s="211">
        <v>1004</v>
      </c>
      <c r="I1092" s="211" t="s">
        <v>3631</v>
      </c>
      <c r="J1092" s="212" t="s">
        <v>638</v>
      </c>
      <c r="K1092" s="211" t="s">
        <v>524</v>
      </c>
      <c r="L1092" s="211" t="s">
        <v>3708</v>
      </c>
      <c r="AD1092" s="213"/>
    </row>
    <row r="1093" spans="1:30" s="211" customFormat="1" x14ac:dyDescent="0.25">
      <c r="A1093" s="211" t="s">
        <v>117</v>
      </c>
      <c r="B1093" s="211">
        <v>991</v>
      </c>
      <c r="C1093" s="211" t="s">
        <v>514</v>
      </c>
      <c r="D1093" s="211">
        <v>192051532</v>
      </c>
      <c r="E1093" s="211">
        <v>1080</v>
      </c>
      <c r="F1093" s="211">
        <v>1252</v>
      </c>
      <c r="G1093" s="211">
        <v>1004</v>
      </c>
      <c r="I1093" s="211" t="s">
        <v>3632</v>
      </c>
      <c r="J1093" s="212" t="s">
        <v>638</v>
      </c>
      <c r="K1093" s="211" t="s">
        <v>524</v>
      </c>
      <c r="L1093" s="211" t="s">
        <v>3709</v>
      </c>
      <c r="AD1093" s="213"/>
    </row>
    <row r="1094" spans="1:30" s="211" customFormat="1" x14ac:dyDescent="0.25">
      <c r="A1094" s="211" t="s">
        <v>117</v>
      </c>
      <c r="B1094" s="211">
        <v>991</v>
      </c>
      <c r="C1094" s="211" t="s">
        <v>514</v>
      </c>
      <c r="D1094" s="211">
        <v>192051533</v>
      </c>
      <c r="E1094" s="211">
        <v>1060</v>
      </c>
      <c r="F1094" s="211">
        <v>1271</v>
      </c>
      <c r="G1094" s="211">
        <v>1004</v>
      </c>
      <c r="I1094" s="211" t="s">
        <v>3633</v>
      </c>
      <c r="J1094" s="212" t="s">
        <v>638</v>
      </c>
      <c r="K1094" s="211" t="s">
        <v>524</v>
      </c>
      <c r="L1094" s="211" t="s">
        <v>3710</v>
      </c>
      <c r="AD1094" s="213"/>
    </row>
    <row r="1095" spans="1:30" s="211" customFormat="1" x14ac:dyDescent="0.25">
      <c r="A1095" s="211" t="s">
        <v>117</v>
      </c>
      <c r="B1095" s="211">
        <v>991</v>
      </c>
      <c r="C1095" s="211" t="s">
        <v>514</v>
      </c>
      <c r="D1095" s="211">
        <v>192051534</v>
      </c>
      <c r="E1095" s="211">
        <v>1060</v>
      </c>
      <c r="F1095" s="211">
        <v>1274</v>
      </c>
      <c r="G1095" s="211">
        <v>1004</v>
      </c>
      <c r="I1095" s="211" t="s">
        <v>3634</v>
      </c>
      <c r="J1095" s="212" t="s">
        <v>638</v>
      </c>
      <c r="K1095" s="211" t="s">
        <v>524</v>
      </c>
      <c r="L1095" s="211" t="s">
        <v>3711</v>
      </c>
      <c r="AD1095" s="213"/>
    </row>
    <row r="1096" spans="1:30" s="211" customFormat="1" x14ac:dyDescent="0.25">
      <c r="A1096" s="211" t="s">
        <v>117</v>
      </c>
      <c r="B1096" s="211">
        <v>991</v>
      </c>
      <c r="C1096" s="211" t="s">
        <v>514</v>
      </c>
      <c r="D1096" s="211">
        <v>192051535</v>
      </c>
      <c r="E1096" s="211">
        <v>1060</v>
      </c>
      <c r="F1096" s="211">
        <v>1274</v>
      </c>
      <c r="G1096" s="211">
        <v>1004</v>
      </c>
      <c r="I1096" s="211" t="s">
        <v>3635</v>
      </c>
      <c r="J1096" s="212" t="s">
        <v>638</v>
      </c>
      <c r="K1096" s="211" t="s">
        <v>524</v>
      </c>
      <c r="L1096" s="211" t="s">
        <v>3712</v>
      </c>
      <c r="AD1096" s="213"/>
    </row>
    <row r="1097" spans="1:30" s="211" customFormat="1" x14ac:dyDescent="0.25">
      <c r="A1097" s="211" t="s">
        <v>117</v>
      </c>
      <c r="B1097" s="211">
        <v>991</v>
      </c>
      <c r="C1097" s="211" t="s">
        <v>514</v>
      </c>
      <c r="D1097" s="211">
        <v>192051536</v>
      </c>
      <c r="E1097" s="211">
        <v>1060</v>
      </c>
      <c r="F1097" s="211">
        <v>1274</v>
      </c>
      <c r="G1097" s="211">
        <v>1004</v>
      </c>
      <c r="I1097" s="211" t="s">
        <v>3636</v>
      </c>
      <c r="J1097" s="212" t="s">
        <v>638</v>
      </c>
      <c r="K1097" s="211" t="s">
        <v>524</v>
      </c>
      <c r="L1097" s="211" t="s">
        <v>3713</v>
      </c>
      <c r="AD1097" s="213"/>
    </row>
    <row r="1098" spans="1:30" s="211" customFormat="1" x14ac:dyDescent="0.25">
      <c r="A1098" s="211" t="s">
        <v>117</v>
      </c>
      <c r="B1098" s="211">
        <v>991</v>
      </c>
      <c r="C1098" s="211" t="s">
        <v>514</v>
      </c>
      <c r="D1098" s="211">
        <v>192051537</v>
      </c>
      <c r="E1098" s="211">
        <v>1060</v>
      </c>
      <c r="F1098" s="211">
        <v>1274</v>
      </c>
      <c r="G1098" s="211">
        <v>1004</v>
      </c>
      <c r="I1098" s="211" t="s">
        <v>3637</v>
      </c>
      <c r="J1098" s="212" t="s">
        <v>638</v>
      </c>
      <c r="K1098" s="211" t="s">
        <v>524</v>
      </c>
      <c r="L1098" s="211" t="s">
        <v>3714</v>
      </c>
      <c r="AD1098" s="213"/>
    </row>
    <row r="1099" spans="1:30" s="211" customFormat="1" x14ac:dyDescent="0.25">
      <c r="A1099" s="211" t="s">
        <v>117</v>
      </c>
      <c r="B1099" s="211">
        <v>991</v>
      </c>
      <c r="C1099" s="211" t="s">
        <v>514</v>
      </c>
      <c r="D1099" s="211">
        <v>192051569</v>
      </c>
      <c r="E1099" s="211">
        <v>1060</v>
      </c>
      <c r="F1099" s="211">
        <v>1274</v>
      </c>
      <c r="G1099" s="211">
        <v>1004</v>
      </c>
      <c r="I1099" s="211" t="s">
        <v>3638</v>
      </c>
      <c r="J1099" s="212" t="s">
        <v>638</v>
      </c>
      <c r="K1099" s="211" t="s">
        <v>524</v>
      </c>
      <c r="L1099" s="211" t="s">
        <v>3715</v>
      </c>
      <c r="AD1099" s="213"/>
    </row>
    <row r="1100" spans="1:30" s="211" customFormat="1" x14ac:dyDescent="0.25">
      <c r="A1100" s="211" t="s">
        <v>117</v>
      </c>
      <c r="B1100" s="211">
        <v>991</v>
      </c>
      <c r="C1100" s="211" t="s">
        <v>514</v>
      </c>
      <c r="D1100" s="211">
        <v>192051570</v>
      </c>
      <c r="E1100" s="211">
        <v>1060</v>
      </c>
      <c r="F1100" s="211">
        <v>1274</v>
      </c>
      <c r="G1100" s="211">
        <v>1004</v>
      </c>
      <c r="I1100" s="211" t="s">
        <v>3639</v>
      </c>
      <c r="J1100" s="212" t="s">
        <v>638</v>
      </c>
      <c r="K1100" s="211" t="s">
        <v>524</v>
      </c>
      <c r="L1100" s="211" t="s">
        <v>3716</v>
      </c>
      <c r="AD1100" s="213"/>
    </row>
    <row r="1101" spans="1:30" s="211" customFormat="1" x14ac:dyDescent="0.25">
      <c r="A1101" s="211" t="s">
        <v>117</v>
      </c>
      <c r="B1101" s="211">
        <v>991</v>
      </c>
      <c r="C1101" s="211" t="s">
        <v>514</v>
      </c>
      <c r="D1101" s="211">
        <v>192051573</v>
      </c>
      <c r="E1101" s="211">
        <v>1060</v>
      </c>
      <c r="F1101" s="211">
        <v>1274</v>
      </c>
      <c r="G1101" s="211">
        <v>1004</v>
      </c>
      <c r="I1101" s="211" t="s">
        <v>3640</v>
      </c>
      <c r="J1101" s="212" t="s">
        <v>638</v>
      </c>
      <c r="K1101" s="211" t="s">
        <v>524</v>
      </c>
      <c r="L1101" s="211" t="s">
        <v>3717</v>
      </c>
      <c r="AD1101" s="213"/>
    </row>
    <row r="1102" spans="1:30" s="211" customFormat="1" x14ac:dyDescent="0.25">
      <c r="A1102" s="211" t="s">
        <v>117</v>
      </c>
      <c r="B1102" s="211">
        <v>991</v>
      </c>
      <c r="C1102" s="211" t="s">
        <v>514</v>
      </c>
      <c r="D1102" s="211">
        <v>192051574</v>
      </c>
      <c r="E1102" s="211">
        <v>1080</v>
      </c>
      <c r="F1102" s="211">
        <v>1271</v>
      </c>
      <c r="G1102" s="211">
        <v>1004</v>
      </c>
      <c r="I1102" s="211" t="s">
        <v>3641</v>
      </c>
      <c r="J1102" s="212" t="s">
        <v>638</v>
      </c>
      <c r="K1102" s="211" t="s">
        <v>524</v>
      </c>
      <c r="L1102" s="211" t="s">
        <v>3718</v>
      </c>
      <c r="AD1102" s="213"/>
    </row>
    <row r="1103" spans="1:30" s="211" customFormat="1" x14ac:dyDescent="0.25">
      <c r="A1103" s="211" t="s">
        <v>117</v>
      </c>
      <c r="B1103" s="211">
        <v>991</v>
      </c>
      <c r="C1103" s="211" t="s">
        <v>514</v>
      </c>
      <c r="D1103" s="211">
        <v>192051576</v>
      </c>
      <c r="E1103" s="211">
        <v>1060</v>
      </c>
      <c r="F1103" s="211">
        <v>1274</v>
      </c>
      <c r="G1103" s="211">
        <v>1004</v>
      </c>
      <c r="I1103" s="211" t="s">
        <v>3642</v>
      </c>
      <c r="J1103" s="212" t="s">
        <v>638</v>
      </c>
      <c r="K1103" s="211" t="s">
        <v>524</v>
      </c>
      <c r="L1103" s="211" t="s">
        <v>3719</v>
      </c>
      <c r="AD1103" s="213"/>
    </row>
    <row r="1104" spans="1:30" s="211" customFormat="1" x14ac:dyDescent="0.25">
      <c r="A1104" s="211" t="s">
        <v>117</v>
      </c>
      <c r="B1104" s="211">
        <v>991</v>
      </c>
      <c r="C1104" s="211" t="s">
        <v>514</v>
      </c>
      <c r="D1104" s="211">
        <v>192051578</v>
      </c>
      <c r="E1104" s="211">
        <v>1060</v>
      </c>
      <c r="F1104" s="211">
        <v>1274</v>
      </c>
      <c r="G1104" s="211">
        <v>1004</v>
      </c>
      <c r="I1104" s="211" t="s">
        <v>3643</v>
      </c>
      <c r="J1104" s="212" t="s">
        <v>638</v>
      </c>
      <c r="K1104" s="211" t="s">
        <v>524</v>
      </c>
      <c r="L1104" s="211" t="s">
        <v>3720</v>
      </c>
      <c r="AD1104" s="213"/>
    </row>
    <row r="1105" spans="1:30" s="211" customFormat="1" x14ac:dyDescent="0.25">
      <c r="A1105" s="211" t="s">
        <v>117</v>
      </c>
      <c r="B1105" s="211">
        <v>991</v>
      </c>
      <c r="C1105" s="211" t="s">
        <v>514</v>
      </c>
      <c r="D1105" s="211">
        <v>192051580</v>
      </c>
      <c r="E1105" s="211">
        <v>1060</v>
      </c>
      <c r="F1105" s="211">
        <v>1274</v>
      </c>
      <c r="G1105" s="211">
        <v>1004</v>
      </c>
      <c r="I1105" s="211" t="s">
        <v>3644</v>
      </c>
      <c r="J1105" s="212" t="s">
        <v>638</v>
      </c>
      <c r="K1105" s="211" t="s">
        <v>524</v>
      </c>
      <c r="L1105" s="211" t="s">
        <v>3721</v>
      </c>
      <c r="AD1105" s="213"/>
    </row>
    <row r="1106" spans="1:30" s="211" customFormat="1" x14ac:dyDescent="0.25">
      <c r="A1106" s="211" t="s">
        <v>117</v>
      </c>
      <c r="B1106" s="211">
        <v>991</v>
      </c>
      <c r="C1106" s="211" t="s">
        <v>514</v>
      </c>
      <c r="D1106" s="211">
        <v>192051584</v>
      </c>
      <c r="E1106" s="211">
        <v>1060</v>
      </c>
      <c r="F1106" s="211">
        <v>1274</v>
      </c>
      <c r="G1106" s="211">
        <v>1004</v>
      </c>
      <c r="I1106" s="211" t="s">
        <v>3645</v>
      </c>
      <c r="J1106" s="212" t="s">
        <v>638</v>
      </c>
      <c r="K1106" s="211" t="s">
        <v>524</v>
      </c>
      <c r="L1106" s="211" t="s">
        <v>3722</v>
      </c>
      <c r="AD1106" s="213"/>
    </row>
    <row r="1107" spans="1:30" s="211" customFormat="1" x14ac:dyDescent="0.25">
      <c r="A1107" s="211" t="s">
        <v>117</v>
      </c>
      <c r="B1107" s="211">
        <v>991</v>
      </c>
      <c r="C1107" s="211" t="s">
        <v>514</v>
      </c>
      <c r="D1107" s="211">
        <v>192051585</v>
      </c>
      <c r="E1107" s="211">
        <v>1060</v>
      </c>
      <c r="F1107" s="211">
        <v>1274</v>
      </c>
      <c r="G1107" s="211">
        <v>1004</v>
      </c>
      <c r="I1107" s="211" t="s">
        <v>3646</v>
      </c>
      <c r="J1107" s="212" t="s">
        <v>638</v>
      </c>
      <c r="K1107" s="211" t="s">
        <v>524</v>
      </c>
      <c r="L1107" s="211" t="s">
        <v>3723</v>
      </c>
      <c r="AD1107" s="213"/>
    </row>
    <row r="1108" spans="1:30" s="211" customFormat="1" x14ac:dyDescent="0.25">
      <c r="A1108" s="211" t="s">
        <v>117</v>
      </c>
      <c r="B1108" s="211">
        <v>991</v>
      </c>
      <c r="C1108" s="211" t="s">
        <v>514</v>
      </c>
      <c r="D1108" s="211">
        <v>192051586</v>
      </c>
      <c r="E1108" s="211">
        <v>1060</v>
      </c>
      <c r="F1108" s="211">
        <v>1274</v>
      </c>
      <c r="G1108" s="211">
        <v>1004</v>
      </c>
      <c r="I1108" s="211" t="s">
        <v>3647</v>
      </c>
      <c r="J1108" s="212" t="s">
        <v>638</v>
      </c>
      <c r="K1108" s="211" t="s">
        <v>524</v>
      </c>
      <c r="L1108" s="211" t="s">
        <v>3724</v>
      </c>
      <c r="AD1108" s="213"/>
    </row>
    <row r="1109" spans="1:30" s="211" customFormat="1" x14ac:dyDescent="0.25">
      <c r="A1109" s="211" t="s">
        <v>117</v>
      </c>
      <c r="B1109" s="211">
        <v>991</v>
      </c>
      <c r="C1109" s="211" t="s">
        <v>514</v>
      </c>
      <c r="D1109" s="211">
        <v>192051587</v>
      </c>
      <c r="E1109" s="211">
        <v>1060</v>
      </c>
      <c r="F1109" s="211">
        <v>1274</v>
      </c>
      <c r="G1109" s="211">
        <v>1004</v>
      </c>
      <c r="I1109" s="211" t="s">
        <v>3648</v>
      </c>
      <c r="J1109" s="212" t="s">
        <v>638</v>
      </c>
      <c r="K1109" s="211" t="s">
        <v>524</v>
      </c>
      <c r="L1109" s="211" t="s">
        <v>3725</v>
      </c>
      <c r="AD1109" s="213"/>
    </row>
    <row r="1110" spans="1:30" s="211" customFormat="1" x14ac:dyDescent="0.25">
      <c r="A1110" s="211" t="s">
        <v>117</v>
      </c>
      <c r="B1110" s="211">
        <v>991</v>
      </c>
      <c r="C1110" s="211" t="s">
        <v>514</v>
      </c>
      <c r="D1110" s="211">
        <v>192051591</v>
      </c>
      <c r="E1110" s="211">
        <v>1060</v>
      </c>
      <c r="F1110" s="211">
        <v>1274</v>
      </c>
      <c r="G1110" s="211">
        <v>1004</v>
      </c>
      <c r="I1110" s="211" t="s">
        <v>3649</v>
      </c>
      <c r="J1110" s="212" t="s">
        <v>638</v>
      </c>
      <c r="K1110" s="211" t="s">
        <v>524</v>
      </c>
      <c r="L1110" s="211" t="s">
        <v>3726</v>
      </c>
      <c r="AD1110" s="213"/>
    </row>
    <row r="1111" spans="1:30" s="211" customFormat="1" x14ac:dyDescent="0.25">
      <c r="A1111" s="211" t="s">
        <v>117</v>
      </c>
      <c r="B1111" s="211">
        <v>991</v>
      </c>
      <c r="C1111" s="211" t="s">
        <v>514</v>
      </c>
      <c r="D1111" s="211">
        <v>192051597</v>
      </c>
      <c r="E1111" s="211">
        <v>1060</v>
      </c>
      <c r="F1111" s="211">
        <v>1274</v>
      </c>
      <c r="G1111" s="211">
        <v>1004</v>
      </c>
      <c r="I1111" s="211" t="s">
        <v>3650</v>
      </c>
      <c r="J1111" s="212" t="s">
        <v>638</v>
      </c>
      <c r="K1111" s="211" t="s">
        <v>524</v>
      </c>
      <c r="L1111" s="211" t="s">
        <v>3727</v>
      </c>
      <c r="AD1111" s="213"/>
    </row>
    <row r="1112" spans="1:30" s="211" customFormat="1" x14ac:dyDescent="0.25">
      <c r="A1112" s="211" t="s">
        <v>117</v>
      </c>
      <c r="B1112" s="211">
        <v>991</v>
      </c>
      <c r="C1112" s="211" t="s">
        <v>514</v>
      </c>
      <c r="D1112" s="211">
        <v>192051599</v>
      </c>
      <c r="E1112" s="211">
        <v>1060</v>
      </c>
      <c r="F1112" s="211">
        <v>1274</v>
      </c>
      <c r="G1112" s="211">
        <v>1004</v>
      </c>
      <c r="I1112" s="211" t="s">
        <v>3651</v>
      </c>
      <c r="J1112" s="212" t="s">
        <v>638</v>
      </c>
      <c r="K1112" s="211" t="s">
        <v>524</v>
      </c>
      <c r="L1112" s="211" t="s">
        <v>3728</v>
      </c>
      <c r="AD1112" s="213"/>
    </row>
    <row r="1113" spans="1:30" s="211" customFormat="1" x14ac:dyDescent="0.25">
      <c r="A1113" s="211" t="s">
        <v>117</v>
      </c>
      <c r="B1113" s="211">
        <v>991</v>
      </c>
      <c r="C1113" s="211" t="s">
        <v>514</v>
      </c>
      <c r="D1113" s="211">
        <v>192051608</v>
      </c>
      <c r="E1113" s="211">
        <v>1060</v>
      </c>
      <c r="F1113" s="211">
        <v>1274</v>
      </c>
      <c r="G1113" s="211">
        <v>1004</v>
      </c>
      <c r="I1113" s="211" t="s">
        <v>3652</v>
      </c>
      <c r="J1113" s="212" t="s">
        <v>638</v>
      </c>
      <c r="K1113" s="211" t="s">
        <v>524</v>
      </c>
      <c r="L1113" s="211" t="s">
        <v>3729</v>
      </c>
      <c r="AD1113" s="213"/>
    </row>
    <row r="1114" spans="1:30" s="211" customFormat="1" x14ac:dyDescent="0.25">
      <c r="A1114" s="211" t="s">
        <v>117</v>
      </c>
      <c r="B1114" s="211">
        <v>991</v>
      </c>
      <c r="C1114" s="211" t="s">
        <v>514</v>
      </c>
      <c r="D1114" s="211">
        <v>192051610</v>
      </c>
      <c r="E1114" s="211">
        <v>1060</v>
      </c>
      <c r="F1114" s="211">
        <v>1274</v>
      </c>
      <c r="G1114" s="211">
        <v>1004</v>
      </c>
      <c r="I1114" s="211" t="s">
        <v>3653</v>
      </c>
      <c r="J1114" s="212" t="s">
        <v>638</v>
      </c>
      <c r="K1114" s="211" t="s">
        <v>639</v>
      </c>
      <c r="L1114" s="211" t="s">
        <v>3753</v>
      </c>
      <c r="AD1114" s="213"/>
    </row>
    <row r="1115" spans="1:30" s="211" customFormat="1" x14ac:dyDescent="0.25">
      <c r="A1115" s="211" t="s">
        <v>117</v>
      </c>
      <c r="B1115" s="211">
        <v>991</v>
      </c>
      <c r="C1115" s="211" t="s">
        <v>514</v>
      </c>
      <c r="D1115" s="211">
        <v>192051611</v>
      </c>
      <c r="E1115" s="211">
        <v>1060</v>
      </c>
      <c r="F1115" s="211">
        <v>1274</v>
      </c>
      <c r="G1115" s="211">
        <v>1004</v>
      </c>
      <c r="I1115" s="211" t="s">
        <v>3654</v>
      </c>
      <c r="J1115" s="212" t="s">
        <v>638</v>
      </c>
      <c r="K1115" s="211" t="s">
        <v>524</v>
      </c>
      <c r="L1115" s="211" t="s">
        <v>3730</v>
      </c>
      <c r="AD1115" s="213"/>
    </row>
    <row r="1116" spans="1:30" s="211" customFormat="1" x14ac:dyDescent="0.25">
      <c r="A1116" s="211" t="s">
        <v>117</v>
      </c>
      <c r="B1116" s="211">
        <v>991</v>
      </c>
      <c r="C1116" s="211" t="s">
        <v>514</v>
      </c>
      <c r="D1116" s="211">
        <v>192051612</v>
      </c>
      <c r="E1116" s="211">
        <v>1060</v>
      </c>
      <c r="F1116" s="211">
        <v>1274</v>
      </c>
      <c r="G1116" s="211">
        <v>1004</v>
      </c>
      <c r="I1116" s="211" t="s">
        <v>3655</v>
      </c>
      <c r="J1116" s="212" t="s">
        <v>638</v>
      </c>
      <c r="K1116" s="211" t="s">
        <v>524</v>
      </c>
      <c r="L1116" s="211" t="s">
        <v>3731</v>
      </c>
      <c r="AD1116" s="213"/>
    </row>
    <row r="1117" spans="1:30" s="211" customFormat="1" x14ac:dyDescent="0.25">
      <c r="A1117" s="211" t="s">
        <v>117</v>
      </c>
      <c r="B1117" s="211">
        <v>991</v>
      </c>
      <c r="C1117" s="211" t="s">
        <v>514</v>
      </c>
      <c r="D1117" s="211">
        <v>192051613</v>
      </c>
      <c r="E1117" s="211">
        <v>1060</v>
      </c>
      <c r="F1117" s="211">
        <v>1274</v>
      </c>
      <c r="G1117" s="211">
        <v>1004</v>
      </c>
      <c r="I1117" s="211" t="s">
        <v>3656</v>
      </c>
      <c r="J1117" s="212" t="s">
        <v>638</v>
      </c>
      <c r="K1117" s="211" t="s">
        <v>524</v>
      </c>
      <c r="L1117" s="211" t="s">
        <v>3732</v>
      </c>
      <c r="AD1117" s="213"/>
    </row>
    <row r="1118" spans="1:30" s="211" customFormat="1" x14ac:dyDescent="0.25">
      <c r="A1118" s="211" t="s">
        <v>117</v>
      </c>
      <c r="B1118" s="211">
        <v>991</v>
      </c>
      <c r="C1118" s="211" t="s">
        <v>514</v>
      </c>
      <c r="D1118" s="211">
        <v>192051615</v>
      </c>
      <c r="E1118" s="211">
        <v>1060</v>
      </c>
      <c r="F1118" s="211">
        <v>1274</v>
      </c>
      <c r="G1118" s="211">
        <v>1004</v>
      </c>
      <c r="I1118" s="211" t="s">
        <v>3657</v>
      </c>
      <c r="J1118" s="212" t="s">
        <v>638</v>
      </c>
      <c r="K1118" s="211" t="s">
        <v>524</v>
      </c>
      <c r="L1118" s="211" t="s">
        <v>3733</v>
      </c>
      <c r="AD1118" s="213"/>
    </row>
    <row r="1119" spans="1:30" s="211" customFormat="1" x14ac:dyDescent="0.25">
      <c r="A1119" s="211" t="s">
        <v>117</v>
      </c>
      <c r="B1119" s="211">
        <v>991</v>
      </c>
      <c r="C1119" s="211" t="s">
        <v>514</v>
      </c>
      <c r="D1119" s="211">
        <v>192051618</v>
      </c>
      <c r="E1119" s="211">
        <v>1060</v>
      </c>
      <c r="F1119" s="211">
        <v>1274</v>
      </c>
      <c r="G1119" s="211">
        <v>1004</v>
      </c>
      <c r="I1119" s="211" t="s">
        <v>3658</v>
      </c>
      <c r="J1119" s="212" t="s">
        <v>638</v>
      </c>
      <c r="K1119" s="211" t="s">
        <v>524</v>
      </c>
      <c r="L1119" s="211" t="s">
        <v>3734</v>
      </c>
      <c r="AD1119" s="213"/>
    </row>
    <row r="1120" spans="1:30" s="211" customFormat="1" x14ac:dyDescent="0.25">
      <c r="A1120" s="211" t="s">
        <v>117</v>
      </c>
      <c r="B1120" s="211">
        <v>991</v>
      </c>
      <c r="C1120" s="211" t="s">
        <v>514</v>
      </c>
      <c r="D1120" s="211">
        <v>192051619</v>
      </c>
      <c r="E1120" s="211">
        <v>1060</v>
      </c>
      <c r="F1120" s="211">
        <v>1274</v>
      </c>
      <c r="G1120" s="211">
        <v>1004</v>
      </c>
      <c r="I1120" s="211" t="s">
        <v>3659</v>
      </c>
      <c r="J1120" s="212" t="s">
        <v>638</v>
      </c>
      <c r="K1120" s="211" t="s">
        <v>524</v>
      </c>
      <c r="L1120" s="211" t="s">
        <v>3735</v>
      </c>
      <c r="AD1120" s="213"/>
    </row>
    <row r="1121" spans="1:30" s="211" customFormat="1" x14ac:dyDescent="0.25">
      <c r="A1121" s="211" t="s">
        <v>117</v>
      </c>
      <c r="B1121" s="211">
        <v>991</v>
      </c>
      <c r="C1121" s="211" t="s">
        <v>514</v>
      </c>
      <c r="D1121" s="211">
        <v>192051623</v>
      </c>
      <c r="E1121" s="211">
        <v>1060</v>
      </c>
      <c r="F1121" s="211">
        <v>1274</v>
      </c>
      <c r="G1121" s="211">
        <v>1004</v>
      </c>
      <c r="I1121" s="211" t="s">
        <v>3660</v>
      </c>
      <c r="J1121" s="212" t="s">
        <v>638</v>
      </c>
      <c r="K1121" s="211" t="s">
        <v>524</v>
      </c>
      <c r="L1121" s="211" t="s">
        <v>3736</v>
      </c>
      <c r="AD1121" s="213"/>
    </row>
    <row r="1122" spans="1:30" s="211" customFormat="1" x14ac:dyDescent="0.25">
      <c r="A1122" s="211" t="s">
        <v>117</v>
      </c>
      <c r="B1122" s="211">
        <v>991</v>
      </c>
      <c r="C1122" s="211" t="s">
        <v>514</v>
      </c>
      <c r="D1122" s="211">
        <v>192051625</v>
      </c>
      <c r="E1122" s="211">
        <v>1060</v>
      </c>
      <c r="F1122" s="211">
        <v>1274</v>
      </c>
      <c r="G1122" s="211">
        <v>1004</v>
      </c>
      <c r="I1122" s="211" t="s">
        <v>3661</v>
      </c>
      <c r="J1122" s="212" t="s">
        <v>638</v>
      </c>
      <c r="K1122" s="211" t="s">
        <v>524</v>
      </c>
      <c r="L1122" s="211" t="s">
        <v>3737</v>
      </c>
      <c r="AD1122" s="213"/>
    </row>
    <row r="1123" spans="1:30" s="211" customFormat="1" x14ac:dyDescent="0.25">
      <c r="A1123" s="211" t="s">
        <v>117</v>
      </c>
      <c r="B1123" s="211">
        <v>991</v>
      </c>
      <c r="C1123" s="211" t="s">
        <v>514</v>
      </c>
      <c r="D1123" s="211">
        <v>192051626</v>
      </c>
      <c r="E1123" s="211">
        <v>1060</v>
      </c>
      <c r="F1123" s="211">
        <v>1274</v>
      </c>
      <c r="G1123" s="211">
        <v>1004</v>
      </c>
      <c r="I1123" s="211" t="s">
        <v>3662</v>
      </c>
      <c r="J1123" s="212" t="s">
        <v>638</v>
      </c>
      <c r="K1123" s="211" t="s">
        <v>524</v>
      </c>
      <c r="L1123" s="211" t="s">
        <v>3738</v>
      </c>
      <c r="AD1123" s="213"/>
    </row>
    <row r="1124" spans="1:30" s="211" customFormat="1" x14ac:dyDescent="0.25">
      <c r="A1124" s="211" t="s">
        <v>117</v>
      </c>
      <c r="B1124" s="211">
        <v>991</v>
      </c>
      <c r="C1124" s="211" t="s">
        <v>514</v>
      </c>
      <c r="D1124" s="211">
        <v>192051627</v>
      </c>
      <c r="E1124" s="211">
        <v>1060</v>
      </c>
      <c r="F1124" s="211">
        <v>1274</v>
      </c>
      <c r="G1124" s="211">
        <v>1004</v>
      </c>
      <c r="I1124" s="211" t="s">
        <v>3663</v>
      </c>
      <c r="J1124" s="212" t="s">
        <v>638</v>
      </c>
      <c r="K1124" s="211" t="s">
        <v>524</v>
      </c>
      <c r="L1124" s="211" t="s">
        <v>3739</v>
      </c>
      <c r="AD1124" s="213"/>
    </row>
    <row r="1125" spans="1:30" s="211" customFormat="1" x14ac:dyDescent="0.25">
      <c r="A1125" s="211" t="s">
        <v>117</v>
      </c>
      <c r="B1125" s="211">
        <v>991</v>
      </c>
      <c r="C1125" s="211" t="s">
        <v>514</v>
      </c>
      <c r="D1125" s="211">
        <v>192051628</v>
      </c>
      <c r="E1125" s="211">
        <v>1060</v>
      </c>
      <c r="F1125" s="211">
        <v>1274</v>
      </c>
      <c r="G1125" s="211">
        <v>1004</v>
      </c>
      <c r="I1125" s="211" t="s">
        <v>3664</v>
      </c>
      <c r="J1125" s="212" t="s">
        <v>638</v>
      </c>
      <c r="K1125" s="211" t="s">
        <v>524</v>
      </c>
      <c r="L1125" s="211" t="s">
        <v>3740</v>
      </c>
      <c r="AD1125" s="213"/>
    </row>
    <row r="1126" spans="1:30" s="211" customFormat="1" x14ac:dyDescent="0.25">
      <c r="A1126" s="211" t="s">
        <v>117</v>
      </c>
      <c r="B1126" s="211">
        <v>991</v>
      </c>
      <c r="C1126" s="211" t="s">
        <v>514</v>
      </c>
      <c r="D1126" s="211">
        <v>192051629</v>
      </c>
      <c r="E1126" s="211">
        <v>1060</v>
      </c>
      <c r="F1126" s="211">
        <v>1274</v>
      </c>
      <c r="G1126" s="211">
        <v>1004</v>
      </c>
      <c r="I1126" s="211" t="s">
        <v>3665</v>
      </c>
      <c r="J1126" s="212" t="s">
        <v>638</v>
      </c>
      <c r="K1126" s="211" t="s">
        <v>524</v>
      </c>
      <c r="L1126" s="211" t="s">
        <v>3741</v>
      </c>
      <c r="AD1126" s="213"/>
    </row>
    <row r="1127" spans="1:30" s="211" customFormat="1" x14ac:dyDescent="0.25">
      <c r="A1127" s="211" t="s">
        <v>117</v>
      </c>
      <c r="B1127" s="211">
        <v>991</v>
      </c>
      <c r="C1127" s="211" t="s">
        <v>514</v>
      </c>
      <c r="D1127" s="211">
        <v>192051630</v>
      </c>
      <c r="E1127" s="211">
        <v>1060</v>
      </c>
      <c r="F1127" s="211">
        <v>1274</v>
      </c>
      <c r="G1127" s="211">
        <v>1004</v>
      </c>
      <c r="I1127" s="211" t="s">
        <v>3666</v>
      </c>
      <c r="J1127" s="212" t="s">
        <v>638</v>
      </c>
      <c r="K1127" s="211" t="s">
        <v>524</v>
      </c>
      <c r="L1127" s="211" t="s">
        <v>3742</v>
      </c>
      <c r="AD1127" s="213"/>
    </row>
    <row r="1128" spans="1:30" s="211" customFormat="1" x14ac:dyDescent="0.25">
      <c r="A1128" s="211" t="s">
        <v>117</v>
      </c>
      <c r="B1128" s="211">
        <v>991</v>
      </c>
      <c r="C1128" s="211" t="s">
        <v>514</v>
      </c>
      <c r="D1128" s="211">
        <v>192051631</v>
      </c>
      <c r="E1128" s="211">
        <v>1060</v>
      </c>
      <c r="F1128" s="211">
        <v>1274</v>
      </c>
      <c r="G1128" s="211">
        <v>1004</v>
      </c>
      <c r="I1128" s="211" t="s">
        <v>3667</v>
      </c>
      <c r="J1128" s="212" t="s">
        <v>638</v>
      </c>
      <c r="K1128" s="211" t="s">
        <v>524</v>
      </c>
      <c r="L1128" s="211" t="s">
        <v>3743</v>
      </c>
      <c r="AD1128" s="213"/>
    </row>
    <row r="1129" spans="1:30" s="211" customFormat="1" x14ac:dyDescent="0.25">
      <c r="A1129" s="211" t="s">
        <v>117</v>
      </c>
      <c r="B1129" s="211">
        <v>991</v>
      </c>
      <c r="C1129" s="211" t="s">
        <v>514</v>
      </c>
      <c r="D1129" s="211">
        <v>192051632</v>
      </c>
      <c r="E1129" s="211">
        <v>1060</v>
      </c>
      <c r="F1129" s="211">
        <v>1274</v>
      </c>
      <c r="G1129" s="211">
        <v>1004</v>
      </c>
      <c r="I1129" s="211" t="s">
        <v>3668</v>
      </c>
      <c r="J1129" s="212" t="s">
        <v>638</v>
      </c>
      <c r="K1129" s="211" t="s">
        <v>524</v>
      </c>
      <c r="L1129" s="211" t="s">
        <v>3744</v>
      </c>
      <c r="AD1129" s="213"/>
    </row>
    <row r="1130" spans="1:30" s="211" customFormat="1" x14ac:dyDescent="0.25">
      <c r="A1130" s="211" t="s">
        <v>117</v>
      </c>
      <c r="B1130" s="211">
        <v>991</v>
      </c>
      <c r="C1130" s="211" t="s">
        <v>514</v>
      </c>
      <c r="D1130" s="211">
        <v>192051633</v>
      </c>
      <c r="E1130" s="211">
        <v>1060</v>
      </c>
      <c r="F1130" s="211">
        <v>1274</v>
      </c>
      <c r="G1130" s="211">
        <v>1004</v>
      </c>
      <c r="I1130" s="211" t="s">
        <v>3669</v>
      </c>
      <c r="J1130" s="212" t="s">
        <v>638</v>
      </c>
      <c r="K1130" s="211" t="s">
        <v>524</v>
      </c>
      <c r="L1130" s="211" t="s">
        <v>3745</v>
      </c>
      <c r="AD1130" s="213"/>
    </row>
    <row r="1131" spans="1:30" s="211" customFormat="1" x14ac:dyDescent="0.25">
      <c r="A1131" s="211" t="s">
        <v>117</v>
      </c>
      <c r="B1131" s="211">
        <v>991</v>
      </c>
      <c r="C1131" s="211" t="s">
        <v>514</v>
      </c>
      <c r="D1131" s="211">
        <v>192051634</v>
      </c>
      <c r="E1131" s="211">
        <v>1060</v>
      </c>
      <c r="F1131" s="211">
        <v>1271</v>
      </c>
      <c r="G1131" s="211">
        <v>1004</v>
      </c>
      <c r="I1131" s="211" t="s">
        <v>3670</v>
      </c>
      <c r="J1131" s="212" t="s">
        <v>638</v>
      </c>
      <c r="K1131" s="211" t="s">
        <v>524</v>
      </c>
      <c r="L1131" s="211" t="s">
        <v>3746</v>
      </c>
      <c r="AD1131" s="213"/>
    </row>
    <row r="1132" spans="1:30" s="211" customFormat="1" x14ac:dyDescent="0.25">
      <c r="A1132" s="211" t="s">
        <v>117</v>
      </c>
      <c r="B1132" s="211">
        <v>991</v>
      </c>
      <c r="C1132" s="211" t="s">
        <v>514</v>
      </c>
      <c r="D1132" s="211">
        <v>192051635</v>
      </c>
      <c r="E1132" s="211">
        <v>1060</v>
      </c>
      <c r="F1132" s="211">
        <v>1271</v>
      </c>
      <c r="G1132" s="211">
        <v>1004</v>
      </c>
      <c r="I1132" s="211" t="s">
        <v>3671</v>
      </c>
      <c r="J1132" s="212" t="s">
        <v>638</v>
      </c>
      <c r="K1132" s="211" t="s">
        <v>524</v>
      </c>
      <c r="L1132" s="211" t="s">
        <v>3747</v>
      </c>
      <c r="AD1132" s="213"/>
    </row>
    <row r="1133" spans="1:30" s="211" customFormat="1" x14ac:dyDescent="0.25">
      <c r="A1133" s="211" t="s">
        <v>117</v>
      </c>
      <c r="B1133" s="211">
        <v>992</v>
      </c>
      <c r="C1133" s="211" t="s">
        <v>515</v>
      </c>
      <c r="D1133" s="211">
        <v>191964346</v>
      </c>
      <c r="E1133" s="211">
        <v>1080</v>
      </c>
      <c r="F1133" s="211">
        <v>1241</v>
      </c>
      <c r="G1133" s="211">
        <v>1004</v>
      </c>
      <c r="I1133" s="211" t="s">
        <v>1377</v>
      </c>
      <c r="J1133" s="212" t="s">
        <v>638</v>
      </c>
      <c r="K1133" s="211" t="s">
        <v>524</v>
      </c>
      <c r="L1133" s="211" t="s">
        <v>1417</v>
      </c>
      <c r="AD1133" s="213"/>
    </row>
    <row r="1134" spans="1:30" s="211" customFormat="1" x14ac:dyDescent="0.25">
      <c r="A1134" s="211" t="s">
        <v>117</v>
      </c>
      <c r="B1134" s="211">
        <v>992</v>
      </c>
      <c r="C1134" s="211" t="s">
        <v>515</v>
      </c>
      <c r="D1134" s="211">
        <v>191983632</v>
      </c>
      <c r="E1134" s="211">
        <v>1060</v>
      </c>
      <c r="F1134" s="211">
        <v>1261</v>
      </c>
      <c r="G1134" s="211">
        <v>1004</v>
      </c>
      <c r="I1134" s="211" t="s">
        <v>1378</v>
      </c>
      <c r="J1134" s="212" t="s">
        <v>638</v>
      </c>
      <c r="K1134" s="211" t="s">
        <v>524</v>
      </c>
      <c r="L1134" s="211" t="s">
        <v>1418</v>
      </c>
      <c r="AD1134" s="213"/>
    </row>
    <row r="1135" spans="1:30" s="211" customFormat="1" x14ac:dyDescent="0.25">
      <c r="A1135" s="211" t="s">
        <v>117</v>
      </c>
      <c r="B1135" s="211">
        <v>992</v>
      </c>
      <c r="C1135" s="211" t="s">
        <v>515</v>
      </c>
      <c r="D1135" s="211">
        <v>192001018</v>
      </c>
      <c r="E1135" s="211">
        <v>1060</v>
      </c>
      <c r="F1135" s="211">
        <v>1274</v>
      </c>
      <c r="G1135" s="211">
        <v>1004</v>
      </c>
      <c r="I1135" s="211" t="s">
        <v>1563</v>
      </c>
      <c r="J1135" s="212" t="s">
        <v>638</v>
      </c>
      <c r="K1135" s="211" t="s">
        <v>524</v>
      </c>
      <c r="L1135" s="211" t="s">
        <v>1576</v>
      </c>
      <c r="AD1135" s="213"/>
    </row>
    <row r="1136" spans="1:30" s="211" customFormat="1" x14ac:dyDescent="0.25">
      <c r="A1136" s="211" t="s">
        <v>117</v>
      </c>
      <c r="B1136" s="211">
        <v>992</v>
      </c>
      <c r="C1136" s="211" t="s">
        <v>515</v>
      </c>
      <c r="D1136" s="211">
        <v>192034902</v>
      </c>
      <c r="E1136" s="211">
        <v>1020</v>
      </c>
      <c r="F1136" s="211">
        <v>1110</v>
      </c>
      <c r="G1136" s="211">
        <v>1004</v>
      </c>
      <c r="I1136" s="211" t="s">
        <v>2562</v>
      </c>
      <c r="J1136" s="212" t="s">
        <v>638</v>
      </c>
      <c r="K1136" s="211" t="s">
        <v>524</v>
      </c>
      <c r="L1136" s="211" t="s">
        <v>2572</v>
      </c>
      <c r="AD1136" s="213"/>
    </row>
    <row r="1137" spans="1:30" s="211" customFormat="1" x14ac:dyDescent="0.25">
      <c r="A1137" s="211" t="s">
        <v>117</v>
      </c>
      <c r="B1137" s="211">
        <v>992</v>
      </c>
      <c r="C1137" s="211" t="s">
        <v>515</v>
      </c>
      <c r="D1137" s="211">
        <v>192041206</v>
      </c>
      <c r="E1137" s="211">
        <v>1060</v>
      </c>
      <c r="F1137" s="211">
        <v>1274</v>
      </c>
      <c r="G1137" s="211">
        <v>1004</v>
      </c>
      <c r="I1137" s="211" t="s">
        <v>2759</v>
      </c>
      <c r="J1137" s="212" t="s">
        <v>638</v>
      </c>
      <c r="K1137" s="211" t="s">
        <v>524</v>
      </c>
      <c r="L1137" s="211" t="s">
        <v>2782</v>
      </c>
      <c r="AD1137" s="213"/>
    </row>
    <row r="1138" spans="1:30" s="211" customFormat="1" x14ac:dyDescent="0.25">
      <c r="A1138" s="211" t="s">
        <v>117</v>
      </c>
      <c r="B1138" s="211">
        <v>992</v>
      </c>
      <c r="C1138" s="211" t="s">
        <v>515</v>
      </c>
      <c r="D1138" s="211">
        <v>192041657</v>
      </c>
      <c r="E1138" s="211">
        <v>1060</v>
      </c>
      <c r="F1138" s="211">
        <v>1242</v>
      </c>
      <c r="G1138" s="211">
        <v>1004</v>
      </c>
      <c r="I1138" s="211" t="s">
        <v>2804</v>
      </c>
      <c r="J1138" s="212" t="s">
        <v>638</v>
      </c>
      <c r="K1138" s="211" t="s">
        <v>524</v>
      </c>
      <c r="L1138" s="211" t="s">
        <v>2839</v>
      </c>
      <c r="AD1138" s="213"/>
    </row>
  </sheetData>
  <autoFilter ref="A5:L5" xr:uid="{00000000-0009-0000-0000-000007000000}"/>
  <mergeCells count="3">
    <mergeCell ref="D3:H3"/>
    <mergeCell ref="I3:L3"/>
    <mergeCell ref="A2:L2"/>
  </mergeCells>
  <conditionalFormatting sqref="D6:D1138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D0185E5D-614D-441E-9960-C9ED72D478B8}"/>
    <hyperlink ref="J7" r:id="rId4" xr:uid="{05320D21-F181-480F-B573-316D8BD77934}"/>
    <hyperlink ref="J8" r:id="rId5" xr:uid="{78D55C0E-A7B3-475A-BEC5-E52F34EFD9BE}"/>
    <hyperlink ref="J9" r:id="rId6" xr:uid="{3F167119-B67D-447C-A231-95BA99FE2193}"/>
    <hyperlink ref="J10" r:id="rId7" xr:uid="{6914EC35-A1C9-459A-90EE-48E53BCA1EDF}"/>
    <hyperlink ref="J11" r:id="rId8" xr:uid="{2D4E161F-DEAA-44DC-A7A3-BD3F5738549E}"/>
    <hyperlink ref="J12" r:id="rId9" xr:uid="{71009EE5-8AA1-49E2-87C5-CB59DF6459C2}"/>
    <hyperlink ref="J13" r:id="rId10" xr:uid="{7D51AC4E-F184-4D66-AA0C-0BB5A2D37DB7}"/>
    <hyperlink ref="J14" r:id="rId11" xr:uid="{C5B937FE-1D90-4F27-A99D-FFCCF6D9C4BE}"/>
    <hyperlink ref="J15" r:id="rId12" xr:uid="{CA4717B6-2F76-4E55-8961-76523F8795CC}"/>
    <hyperlink ref="J16" r:id="rId13" xr:uid="{B8FEB63E-8B7C-46C8-A6EC-BFFF60925D6C}"/>
    <hyperlink ref="J17" r:id="rId14" xr:uid="{61EBE31E-EC8F-4EFE-8301-B48198DED575}"/>
    <hyperlink ref="J18" r:id="rId15" xr:uid="{F85AEBB1-F218-4740-8137-63D643AEB7D4}"/>
    <hyperlink ref="J19" r:id="rId16" xr:uid="{A32BCBEA-7856-46FF-AB9C-C9B2FBB26BAD}"/>
    <hyperlink ref="J20" r:id="rId17" xr:uid="{30357EFC-EE2D-44DD-A6F4-F78BC5D0D2C3}"/>
    <hyperlink ref="J21" r:id="rId18" xr:uid="{FCF05405-9B64-4C90-94A3-7CA43837B641}"/>
    <hyperlink ref="J22" r:id="rId19" xr:uid="{E23094E4-01E4-4A7B-ABD9-C5D5A61F14A4}"/>
    <hyperlink ref="J23" r:id="rId20" xr:uid="{284E19CA-930D-42DA-BECC-EC4A194A1868}"/>
    <hyperlink ref="J24" r:id="rId21" xr:uid="{EFB09CFE-2A46-416D-A649-1A40729C3FF0}"/>
    <hyperlink ref="J25" r:id="rId22" xr:uid="{8263FB69-578E-4137-A7F9-FE797C0089CC}"/>
    <hyperlink ref="J26" r:id="rId23" xr:uid="{7720910D-A7B6-4374-A2DB-EAACCAE8AF86}"/>
    <hyperlink ref="J27" r:id="rId24" xr:uid="{8F617CD7-1C33-4290-A912-D38DCA959B79}"/>
    <hyperlink ref="J28" r:id="rId25" xr:uid="{ECFE6469-79F5-4D48-BCBF-2FCAADD9A278}"/>
    <hyperlink ref="J29" r:id="rId26" xr:uid="{C2B362E5-782C-4C3F-A474-9317D42E0287}"/>
    <hyperlink ref="J30" r:id="rId27" xr:uid="{4F228695-CF5B-440C-A8EE-330D6F4FA54E}"/>
    <hyperlink ref="J31" r:id="rId28" xr:uid="{7571852D-02A0-4C10-B8E2-B8B84DB0999B}"/>
    <hyperlink ref="J32" r:id="rId29" xr:uid="{18C616C4-CD81-4E7E-938D-7A2426041FC3}"/>
    <hyperlink ref="J33" r:id="rId30" xr:uid="{C3E58874-BA11-428C-BA6C-FA83A6BA8913}"/>
    <hyperlink ref="J34" r:id="rId31" xr:uid="{197F6273-CAB8-4F2F-9B2B-390793F95565}"/>
    <hyperlink ref="J35" r:id="rId32" xr:uid="{E592A8FA-0EBC-422D-A161-2C1DA04B18EF}"/>
    <hyperlink ref="J36" r:id="rId33" xr:uid="{6E7CB6FB-BB43-4F2B-B2FD-5993988ED582}"/>
    <hyperlink ref="J37" r:id="rId34" xr:uid="{243259A2-BE25-4D56-9291-C6CA57EF054F}"/>
    <hyperlink ref="J38" r:id="rId35" xr:uid="{1ECE4223-A0B5-416D-B04F-8F8D970372D3}"/>
    <hyperlink ref="J39" r:id="rId36" xr:uid="{CA428B3A-124C-484F-A0EF-B73185A5F188}"/>
    <hyperlink ref="J40" r:id="rId37" xr:uid="{EC3D7C22-579A-48D3-8ED7-DCC4E372686D}"/>
    <hyperlink ref="J41" r:id="rId38" xr:uid="{A0FAB8AB-7D0C-446C-85B7-15042D64205D}"/>
    <hyperlink ref="J42" r:id="rId39" xr:uid="{CF4445F7-36BF-495A-9FC6-0874152818D5}"/>
    <hyperlink ref="J43" r:id="rId40" xr:uid="{20166743-C293-4C6F-A4A3-DC0FD7867BF9}"/>
    <hyperlink ref="J44" r:id="rId41" xr:uid="{3F20071A-0587-45EA-8588-D6E3324AEAB3}"/>
    <hyperlink ref="J45" r:id="rId42" xr:uid="{F83747B7-74FD-4EA1-B4EB-B8D0EDA764D0}"/>
    <hyperlink ref="J46" r:id="rId43" xr:uid="{79E38B17-A046-4D05-BEBC-23A1EC918AAD}"/>
    <hyperlink ref="J47" r:id="rId44" xr:uid="{F9555362-0343-45A2-8D55-5D79C6361640}"/>
    <hyperlink ref="J48" r:id="rId45" xr:uid="{51DAE331-6F6D-4614-8444-6A76EEDB21A5}"/>
    <hyperlink ref="J49" r:id="rId46" xr:uid="{475624AC-D44A-45B0-BFC2-A9B73102B82F}"/>
    <hyperlink ref="J50" r:id="rId47" xr:uid="{4BB2FFE3-94CE-4D56-8C40-097BC5B02287}"/>
    <hyperlink ref="J51" r:id="rId48" xr:uid="{7D5272F7-D15D-447E-A024-6CF43DEB06E4}"/>
    <hyperlink ref="J52" r:id="rId49" xr:uid="{E71C1201-D735-48F3-8203-FD622DB3D92F}"/>
    <hyperlink ref="J53" r:id="rId50" xr:uid="{F7B6A47A-7B62-43C9-85AA-EFD746A31BB4}"/>
    <hyperlink ref="J54" r:id="rId51" xr:uid="{CDE5089F-C2FC-4CF6-AF9B-0E64EEE13F8B}"/>
    <hyperlink ref="J55" r:id="rId52" xr:uid="{C88C03C3-0C9A-43AE-B16A-5A69D1B2727D}"/>
    <hyperlink ref="J56" r:id="rId53" xr:uid="{D59317CC-0A2D-4242-BCB8-123F82A742EA}"/>
    <hyperlink ref="J57" r:id="rId54" xr:uid="{13249519-597D-4D6C-917B-44ADA07C1261}"/>
    <hyperlink ref="J58" r:id="rId55" xr:uid="{6DFB7A77-A561-4E90-8AE4-4A708E83F5EA}"/>
    <hyperlink ref="J59" r:id="rId56" xr:uid="{03F71450-D1F5-4F68-A7B8-5F490DE59EAC}"/>
    <hyperlink ref="J60" r:id="rId57" xr:uid="{9C586AB1-3762-46EF-B704-536CD3D7659D}"/>
    <hyperlink ref="J61" r:id="rId58" xr:uid="{970F9E37-B0E6-4CFA-8C79-248553B6D4F2}"/>
    <hyperlink ref="J62" r:id="rId59" xr:uid="{0975EC88-2AC1-494C-A79E-12BE4F3F618D}"/>
    <hyperlink ref="J63" r:id="rId60" xr:uid="{2A5DD8B0-C3D9-4CE3-A5F0-EBB979096AF2}"/>
    <hyperlink ref="J64" r:id="rId61" xr:uid="{FD1B714A-521C-4E76-A3A0-6AC209C5D76E}"/>
    <hyperlink ref="J65" r:id="rId62" xr:uid="{F60D76D6-47DF-461F-B688-894D9F5EA849}"/>
    <hyperlink ref="J66" r:id="rId63" xr:uid="{755E4F87-89B1-49CE-A7DE-F953EA3A4E61}"/>
    <hyperlink ref="J67" r:id="rId64" xr:uid="{343C7153-F949-442D-9985-C679F824ECB5}"/>
    <hyperlink ref="J68" r:id="rId65" xr:uid="{C7BB7EBB-5860-455F-AAA4-7D87991D0394}"/>
    <hyperlink ref="J69" r:id="rId66" xr:uid="{6B27A8C5-3E65-4426-A4CA-5C031EAE94D8}"/>
    <hyperlink ref="J70" r:id="rId67" xr:uid="{D572A2FE-E220-4251-B5E9-1B83B7809EDF}"/>
    <hyperlink ref="J71" r:id="rId68" xr:uid="{4264B62A-58C6-44B3-9A3D-488A12BDCC87}"/>
    <hyperlink ref="J72" r:id="rId69" xr:uid="{AEB6D183-41BB-4C5A-9F39-9D03A9135C02}"/>
    <hyperlink ref="J73" r:id="rId70" xr:uid="{4ABDE4A8-DC56-4162-8A70-21B23B37096D}"/>
    <hyperlink ref="J74" r:id="rId71" xr:uid="{00675A55-C00F-4395-8607-66198342ABD6}"/>
    <hyperlink ref="J75" r:id="rId72" xr:uid="{93BA949B-88B3-4DF9-86DE-68F273EA7FC2}"/>
    <hyperlink ref="J76" r:id="rId73" xr:uid="{362DDD3E-0031-4E47-B451-0A044168FD40}"/>
    <hyperlink ref="J77" r:id="rId74" xr:uid="{C3A01896-0F51-49EA-B3A8-19FDF6689BD1}"/>
    <hyperlink ref="J78" r:id="rId75" xr:uid="{B60C0917-7E32-4DF3-8168-72452743D0AF}"/>
    <hyperlink ref="J79" r:id="rId76" xr:uid="{B33CF96D-2760-4DBF-95E4-B19F3A4C62CE}"/>
    <hyperlink ref="J80" r:id="rId77" xr:uid="{8EA4DC26-8EC3-4C50-BD73-693AECA59BFD}"/>
    <hyperlink ref="J81" r:id="rId78" xr:uid="{9390252E-E1E2-4819-B789-98EA2BAEB387}"/>
    <hyperlink ref="J82" r:id="rId79" xr:uid="{33E2C573-EC8E-4160-8C5B-7A4603DB1894}"/>
    <hyperlink ref="J83" r:id="rId80" xr:uid="{28C69452-1F7A-442D-8CD2-B48CC441D457}"/>
    <hyperlink ref="J84" r:id="rId81" xr:uid="{E741DE86-BD5F-499A-95D0-4C5BF71BD28B}"/>
    <hyperlink ref="J85" r:id="rId82" xr:uid="{D71ADE26-9CFB-49B4-AD5D-770332929FF6}"/>
    <hyperlink ref="J86" r:id="rId83" xr:uid="{D7135CAA-6B20-482B-BF9E-16678217FDCD}"/>
    <hyperlink ref="J87" r:id="rId84" xr:uid="{80162FAE-4B20-4778-BCAC-5E2A27BB4177}"/>
    <hyperlink ref="J88" r:id="rId85" xr:uid="{546EECFC-689B-4BCB-9BD4-71C8AD3E22D9}"/>
    <hyperlink ref="J89" r:id="rId86" xr:uid="{1904CB94-8C61-48AB-91F3-E610F7E03434}"/>
    <hyperlink ref="J90" r:id="rId87" xr:uid="{58FEB73F-3D60-4D23-A39B-2BBE7E84C092}"/>
    <hyperlink ref="J91" r:id="rId88" xr:uid="{42858862-4517-405E-A597-F4F4F6B9383E}"/>
    <hyperlink ref="J92" r:id="rId89" xr:uid="{68CD3332-5112-46B7-A61C-03F7E3D067F9}"/>
    <hyperlink ref="J93" r:id="rId90" xr:uid="{D60B363D-FCF9-479A-996B-8EF7E400B1DF}"/>
    <hyperlink ref="J94" r:id="rId91" xr:uid="{EEE5DA8A-4203-40BD-B029-2550BABEAF75}"/>
    <hyperlink ref="J95" r:id="rId92" xr:uid="{337A2394-1092-40FC-B274-D4FE79449007}"/>
    <hyperlink ref="J96" r:id="rId93" xr:uid="{0626A175-EE9C-40D6-8133-0815E24E3C68}"/>
    <hyperlink ref="J97" r:id="rId94" xr:uid="{27D9B37E-F96E-4D54-8F08-98BACFBC1BDF}"/>
    <hyperlink ref="J98" r:id="rId95" xr:uid="{78E4FF38-6DB8-4533-9800-E8FD62B535E0}"/>
    <hyperlink ref="J99" r:id="rId96" xr:uid="{81A0768A-85E0-4CF6-A476-B1E167BFABB5}"/>
    <hyperlink ref="J100" r:id="rId97" xr:uid="{F1D4D5F4-AEB3-43BF-B6E4-95F581D3F18B}"/>
    <hyperlink ref="J101" r:id="rId98" xr:uid="{07452406-485D-4ACD-8D03-46983891E24B}"/>
    <hyperlink ref="J102" r:id="rId99" xr:uid="{3020DE85-0041-4809-8EDE-5112469179D7}"/>
    <hyperlink ref="J103" r:id="rId100" xr:uid="{906EE596-E99A-476B-834F-231B1A3142D1}"/>
    <hyperlink ref="J104" r:id="rId101" xr:uid="{ED268468-2AF4-44EA-8599-5E0540F52D8A}"/>
    <hyperlink ref="J105" r:id="rId102" xr:uid="{0D253DFE-16FF-45EE-9EA6-853811CEDB2F}"/>
    <hyperlink ref="J106" r:id="rId103" xr:uid="{DD896E56-C66B-4E59-8E3D-872BC195E805}"/>
    <hyperlink ref="J107" r:id="rId104" xr:uid="{907101B5-37DA-4CCE-A2AF-D56BF17A2AD9}"/>
    <hyperlink ref="J108" r:id="rId105" xr:uid="{4FB3CC8D-6796-46BD-BF30-2EA4F693909D}"/>
    <hyperlink ref="J109" r:id="rId106" xr:uid="{29E05F24-E26E-489B-803A-BEC2F6596637}"/>
    <hyperlink ref="J110" r:id="rId107" xr:uid="{60A5B363-437E-41BD-8747-97663E3DAB23}"/>
    <hyperlink ref="J111" r:id="rId108" xr:uid="{4CBA56E5-3256-4957-9BAD-0A47305D6E87}"/>
    <hyperlink ref="J112" r:id="rId109" xr:uid="{0EFDDAFE-6AB8-4B6E-91F0-917BEE07CF9C}"/>
    <hyperlink ref="J113" r:id="rId110" xr:uid="{193AC2D3-BB25-4FDD-8BAC-545645DCDA4C}"/>
    <hyperlink ref="J114" r:id="rId111" xr:uid="{F4B78EB5-5D9F-4FE4-A5B5-EB107F7EDB7A}"/>
    <hyperlink ref="J115" r:id="rId112" xr:uid="{A07BD273-211D-4A15-A398-7E9A2D95939C}"/>
    <hyperlink ref="J116" r:id="rId113" xr:uid="{AAEFD608-626A-488A-A462-DBF43F72DD0C}"/>
    <hyperlink ref="J117" r:id="rId114" xr:uid="{7E843E20-8C64-4316-8275-5D34FDA8A320}"/>
    <hyperlink ref="J118" r:id="rId115" xr:uid="{5214D069-AFD7-4D12-976E-2536A499A34D}"/>
    <hyperlink ref="J119" r:id="rId116" xr:uid="{27117AEA-1BD1-426D-8B90-589BCC13882F}"/>
    <hyperlink ref="J120" r:id="rId117" xr:uid="{AC08C6DF-5D34-4AC9-B6DF-2A99DC0725C5}"/>
    <hyperlink ref="J121" r:id="rId118" xr:uid="{DDFE81A4-7EDE-4A60-BB51-49FA870A168D}"/>
    <hyperlink ref="J122" r:id="rId119" xr:uid="{451449AC-C775-4C56-837C-590D924C1166}"/>
    <hyperlink ref="J123" r:id="rId120" xr:uid="{E0064F76-F945-4516-A686-AE48E013CC8E}"/>
    <hyperlink ref="J124" r:id="rId121" xr:uid="{9F6FF582-47BB-4EF8-B347-F943F0293BEA}"/>
    <hyperlink ref="J125" r:id="rId122" xr:uid="{37855027-B6C6-4B08-9F5A-A6E1BF47DD5C}"/>
    <hyperlink ref="J126" r:id="rId123" xr:uid="{AE6E3E31-5923-4E21-9CF4-729A29F5023D}"/>
    <hyperlink ref="J127" r:id="rId124" xr:uid="{DAAF6EFD-2928-4900-8E19-C2E85ACDFAC8}"/>
    <hyperlink ref="J128" r:id="rId125" xr:uid="{7C62481F-C89B-4220-A34F-E82F402C9A20}"/>
    <hyperlink ref="J129" r:id="rId126" xr:uid="{0CF4C7B0-5EA7-421D-BCFD-9050B19291F9}"/>
    <hyperlink ref="J130" r:id="rId127" xr:uid="{083A26E6-8418-4C94-AA1E-435DFE517E87}"/>
    <hyperlink ref="J131" r:id="rId128" xr:uid="{4F46598C-093E-46E6-B127-EEC6186BE2FD}"/>
    <hyperlink ref="J132" r:id="rId129" xr:uid="{212E0CB0-E72C-43E0-BCDA-1AB408A49069}"/>
    <hyperlink ref="J133" r:id="rId130" xr:uid="{821C270B-CDC9-4A3B-9F65-BE0EE9A8155C}"/>
    <hyperlink ref="J134" r:id="rId131" xr:uid="{74376F85-D77B-4DF9-8B8F-3D3ABB156FFE}"/>
    <hyperlink ref="J135" r:id="rId132" xr:uid="{31DFFD3E-DF5D-405C-B019-3B9A80E70DA0}"/>
    <hyperlink ref="J136" r:id="rId133" xr:uid="{656C2728-98DC-4CCE-9C2E-D43D5D483647}"/>
    <hyperlink ref="J137" r:id="rId134" xr:uid="{0512C19C-E25D-4440-9997-09D4D16B4053}"/>
    <hyperlink ref="J138" r:id="rId135" xr:uid="{86BD77AD-3561-44B9-97A4-366E5BB3C387}"/>
    <hyperlink ref="J139" r:id="rId136" xr:uid="{39DC3E3A-68CB-4822-87BC-CBF64066B530}"/>
    <hyperlink ref="J140" r:id="rId137" xr:uid="{59FD0316-BD28-4FA2-9FAB-9D3F2FB69BA5}"/>
    <hyperlink ref="J141" r:id="rId138" xr:uid="{6729673C-235D-481A-850C-1F2533C86E26}"/>
    <hyperlink ref="J142" r:id="rId139" xr:uid="{3B814907-D958-4DE8-9046-2C6E300F4094}"/>
    <hyperlink ref="J143" r:id="rId140" xr:uid="{3A74B0D3-61E7-406A-A79F-E78C8FD25AF1}"/>
    <hyperlink ref="J144" r:id="rId141" xr:uid="{5D05FA99-5683-4CDB-955A-D5B67A8837D5}"/>
    <hyperlink ref="J145" r:id="rId142" xr:uid="{8E43EFF3-B1A7-48CE-8958-C6A16E9EE042}"/>
    <hyperlink ref="J146" r:id="rId143" xr:uid="{3BC8ACC1-2437-4D14-B81E-08EA87D25868}"/>
    <hyperlink ref="J147" r:id="rId144" xr:uid="{7FC2EFA5-198C-4DB5-BEF1-F54290AEBBBB}"/>
    <hyperlink ref="J148" r:id="rId145" xr:uid="{58D3A70D-E98B-44C7-86D7-6EDE473AE6B7}"/>
    <hyperlink ref="J149" r:id="rId146" xr:uid="{E034DF01-31EB-4F9E-A124-04AD5F2ECB0A}"/>
    <hyperlink ref="J150" r:id="rId147" xr:uid="{947E1366-D7F7-4073-B25B-A7F70FFD8DAA}"/>
    <hyperlink ref="J151" r:id="rId148" xr:uid="{21D25D22-0234-485E-9247-40DCFFF151C6}"/>
    <hyperlink ref="J152" r:id="rId149" xr:uid="{48F594EA-420D-436F-8D87-8A9AA7E0AC5F}"/>
    <hyperlink ref="J153" r:id="rId150" xr:uid="{ADB89E6A-BB85-41BE-92FF-6B4111614C6C}"/>
    <hyperlink ref="J154" r:id="rId151" xr:uid="{C5336CA8-AC19-4A6B-A596-62C1565BA9D0}"/>
    <hyperlink ref="J155" r:id="rId152" xr:uid="{224769F4-6130-4760-9BA2-3574BDACABF6}"/>
    <hyperlink ref="J156" r:id="rId153" xr:uid="{949AD613-08B1-4482-992B-463D3C1BA0EC}"/>
    <hyperlink ref="J157" r:id="rId154" xr:uid="{A4690A2D-A4EE-48ED-86B6-486BCB8205DF}"/>
    <hyperlink ref="J158" r:id="rId155" xr:uid="{CE0D4514-A1EF-44E3-9429-A8095B414A9A}"/>
    <hyperlink ref="J159" r:id="rId156" xr:uid="{5CE9133B-191E-46E8-8792-BB4CE2CB78D9}"/>
    <hyperlink ref="J160" r:id="rId157" xr:uid="{D581B960-BF19-40CA-82DF-4EA5DA2EBD62}"/>
    <hyperlink ref="J161" r:id="rId158" xr:uid="{584D6833-0C86-40BE-A62B-8669CF621E25}"/>
    <hyperlink ref="J162" r:id="rId159" xr:uid="{6E6A7197-354C-4F83-88FB-2569C66AFF57}"/>
    <hyperlink ref="J163" r:id="rId160" xr:uid="{AE3D2E68-0757-4A6E-8605-E4BE154D4523}"/>
    <hyperlink ref="J164" r:id="rId161" xr:uid="{DEF07426-85CF-407B-AD00-3A6060D7C47E}"/>
    <hyperlink ref="J165" r:id="rId162" xr:uid="{061F7300-8553-41F5-BAEF-0AEE1177AB82}"/>
    <hyperlink ref="J166" r:id="rId163" xr:uid="{240DF403-A9B5-44A4-AD2D-8CD297DF6572}"/>
    <hyperlink ref="J167" r:id="rId164" xr:uid="{97AA1748-5AD8-4EAA-95A8-2466E4FCCD9A}"/>
    <hyperlink ref="J168" r:id="rId165" xr:uid="{34D2DEC2-21AB-4A75-8329-F8F3B1205AB9}"/>
    <hyperlink ref="J169" r:id="rId166" xr:uid="{1C5FBEAB-F7D1-4309-AD1D-A0C34A89CA52}"/>
    <hyperlink ref="J170" r:id="rId167" xr:uid="{8191BB4F-120F-45F5-8FF5-650D8BDE71F5}"/>
    <hyperlink ref="J171" r:id="rId168" xr:uid="{5991A3F2-6EB7-4066-932F-704806F5D80E}"/>
    <hyperlink ref="J172" r:id="rId169" xr:uid="{55630B2D-8DED-4A1C-AC70-040283F54C30}"/>
    <hyperlink ref="J173" r:id="rId170" xr:uid="{53AFA9CC-34B9-4918-8D06-7E3D058F6B6D}"/>
    <hyperlink ref="J174" r:id="rId171" xr:uid="{F6D04979-68A7-411C-9325-EC34E475A43D}"/>
    <hyperlink ref="J175" r:id="rId172" xr:uid="{0E888F62-0952-4A5D-8245-5FAAA287E51C}"/>
    <hyperlink ref="J176" r:id="rId173" xr:uid="{477763B1-D0FB-46D2-BC7E-720613CAC831}"/>
    <hyperlink ref="J177" r:id="rId174" xr:uid="{700EBA16-7B4E-43B3-B504-1DAE77CBDFCA}"/>
    <hyperlink ref="J178" r:id="rId175" xr:uid="{9416CD39-2A02-4670-B4B5-426407C2F831}"/>
    <hyperlink ref="J179" r:id="rId176" xr:uid="{3100BC06-50FB-44ED-BA3A-4FBF404D810F}"/>
    <hyperlink ref="J180" r:id="rId177" xr:uid="{00753B42-2F50-4493-B017-8557EBAF03CB}"/>
    <hyperlink ref="J181" r:id="rId178" xr:uid="{1A86F4EC-A056-462F-9505-04E8F3707181}"/>
    <hyperlink ref="J182" r:id="rId179" xr:uid="{45D0BAF0-B97F-42F7-AD2B-6B2E2CD9CC1F}"/>
    <hyperlink ref="J183" r:id="rId180" xr:uid="{C45486FD-3EBC-4D4D-BC37-CA516D0591A0}"/>
    <hyperlink ref="J184" r:id="rId181" xr:uid="{2C933EF3-5217-4391-8BB8-F124F333F77A}"/>
    <hyperlink ref="J185" r:id="rId182" xr:uid="{2575DD1E-9048-44C1-BEB7-46E279824EFC}"/>
    <hyperlink ref="J186" r:id="rId183" xr:uid="{C198D361-D34A-445F-B242-17CF59DEA183}"/>
    <hyperlink ref="J187" r:id="rId184" xr:uid="{A3965B67-96D1-44B8-B28E-00326AA5C77B}"/>
    <hyperlink ref="J188" r:id="rId185" xr:uid="{98975541-FD06-48EC-B56F-408D3788784F}"/>
    <hyperlink ref="J189" r:id="rId186" xr:uid="{A5E57E0A-4D5D-4102-9B6F-0C54A87BB7E6}"/>
    <hyperlink ref="J190" r:id="rId187" xr:uid="{5BE765FF-DA09-4E24-8015-FA543B3D2212}"/>
    <hyperlink ref="J191" r:id="rId188" xr:uid="{1D9AB160-F9FA-4C04-B991-80B6F2D54C09}"/>
    <hyperlink ref="J192" r:id="rId189" xr:uid="{26F01422-646B-430B-80D0-8CBCC13E6DDC}"/>
    <hyperlink ref="J193" r:id="rId190" xr:uid="{CE0D15B8-81B1-4E70-9E88-983F470824BF}"/>
    <hyperlink ref="J194" r:id="rId191" xr:uid="{F77CE508-602C-4DB6-950B-C7986997EB70}"/>
    <hyperlink ref="J195" r:id="rId192" xr:uid="{BB51B4BA-F752-4683-9911-9C7C6181A2EE}"/>
    <hyperlink ref="J196" r:id="rId193" xr:uid="{D9217DB8-09CA-4D22-939F-F1CCCC012688}"/>
    <hyperlink ref="J197" r:id="rId194" xr:uid="{4B690267-36B6-4706-AB37-70D2C4874FBC}"/>
    <hyperlink ref="J198" r:id="rId195" xr:uid="{0A6F825B-8846-4AD0-8E50-2185A2F88AD3}"/>
    <hyperlink ref="J199" r:id="rId196" xr:uid="{06A5D9BC-ABDE-4856-B7E5-562A0A422D26}"/>
    <hyperlink ref="J200" r:id="rId197" xr:uid="{A81569CB-C603-4DC9-B387-7FD8B5AF07CF}"/>
    <hyperlink ref="J201" r:id="rId198" xr:uid="{2C086AA2-824C-4212-8141-5DCA2F2D2C08}"/>
    <hyperlink ref="J202" r:id="rId199" xr:uid="{027006FC-6AC6-40C5-984E-84DAE7E8AD18}"/>
    <hyperlink ref="J203" r:id="rId200" xr:uid="{DA650256-5AA6-4780-B24C-7FEC0AAEC6E1}"/>
    <hyperlink ref="J204" r:id="rId201" xr:uid="{F38BB1D9-ECAE-4F6F-8C28-8BB3781137E4}"/>
    <hyperlink ref="J205" r:id="rId202" xr:uid="{72BD8097-A716-435D-BC00-AAAE8582DF81}"/>
    <hyperlink ref="J206" r:id="rId203" xr:uid="{AFC57693-033F-4CB9-964E-6DEB902FE8A2}"/>
    <hyperlink ref="J207" r:id="rId204" xr:uid="{2A76351E-1476-48B4-A853-C7F2C0509709}"/>
    <hyperlink ref="J208" r:id="rId205" xr:uid="{44010F1B-CEA2-4A29-84FD-F11E9E93868B}"/>
    <hyperlink ref="J209" r:id="rId206" xr:uid="{A1549379-6673-48A5-835D-0F38168F344D}"/>
    <hyperlink ref="J210" r:id="rId207" xr:uid="{6FDDF5B0-485C-4DF3-8D0D-90D7259B02DD}"/>
    <hyperlink ref="J211" r:id="rId208" xr:uid="{481B803F-826C-48B7-827E-20190C0BEB6D}"/>
    <hyperlink ref="J212" r:id="rId209" xr:uid="{5FF42162-28FD-4F57-95C5-AE31F9D15865}"/>
    <hyperlink ref="J213" r:id="rId210" xr:uid="{8E789252-E6E6-46C8-B17D-A9FD12A2A7C3}"/>
    <hyperlink ref="J214" r:id="rId211" xr:uid="{C0390DE5-5260-4285-B785-A0C6AFF91F69}"/>
    <hyperlink ref="J215" r:id="rId212" xr:uid="{DCE9750A-2182-4CDC-9F60-CAA8C3DAC962}"/>
    <hyperlink ref="J216" r:id="rId213" xr:uid="{04EEBB58-3DBF-4F9D-8665-6A2A3397FC5A}"/>
    <hyperlink ref="J217" r:id="rId214" xr:uid="{96CED42E-7682-4334-BE9C-F316C520B3D8}"/>
    <hyperlink ref="J218" r:id="rId215" xr:uid="{238AC620-62DA-4FB5-8F9A-9AB1D769A89E}"/>
    <hyperlink ref="J219" r:id="rId216" xr:uid="{FF3462FB-2D28-493D-AC4C-70E43544A64D}"/>
    <hyperlink ref="J220" r:id="rId217" xr:uid="{BD12EC80-55DA-4FC7-80DB-6CA2461FE597}"/>
    <hyperlink ref="J221" r:id="rId218" xr:uid="{E42F95A8-CB1E-48C1-B5C9-1378EA851229}"/>
    <hyperlink ref="J222" r:id="rId219" xr:uid="{EC712296-062D-4ED1-B75E-8E3B399F4182}"/>
    <hyperlink ref="J223" r:id="rId220" xr:uid="{A4219329-DFCB-4A00-A404-FD570FF56888}"/>
    <hyperlink ref="J224" r:id="rId221" xr:uid="{050FCB61-3235-4BB2-9379-5061B7CAE6C8}"/>
    <hyperlink ref="J225" r:id="rId222" xr:uid="{600438A0-4CD5-4A41-B597-9F2034BCB416}"/>
    <hyperlink ref="J226" r:id="rId223" xr:uid="{E734119C-032B-4554-B22C-C38DB8062088}"/>
    <hyperlink ref="J227" r:id="rId224" xr:uid="{9252D69D-3608-4464-9C75-24D03740469F}"/>
    <hyperlink ref="J228" r:id="rId225" xr:uid="{BB5F2094-F33A-443A-BAB9-CC9F64EECF1D}"/>
    <hyperlink ref="J229" r:id="rId226" xr:uid="{CBE0E981-CB92-4CBB-8560-AF10889976F1}"/>
    <hyperlink ref="J230" r:id="rId227" xr:uid="{2AA3417C-1666-48EC-876A-B7CED627B022}"/>
    <hyperlink ref="J231" r:id="rId228" xr:uid="{534BDE28-7ED0-4B8D-A51E-086872F7FD99}"/>
    <hyperlink ref="J232" r:id="rId229" xr:uid="{26D340C0-39BD-4A20-9F0C-A2821CB38755}"/>
    <hyperlink ref="J233" r:id="rId230" xr:uid="{56DF01D0-6FB6-4D71-9A8A-B71F42F9909E}"/>
    <hyperlink ref="J234" r:id="rId231" xr:uid="{BC390BB4-64B0-460B-94A3-D528F551E208}"/>
    <hyperlink ref="J235" r:id="rId232" xr:uid="{19AF2DE2-DB4A-48FF-A6DF-D96C618C1A47}"/>
    <hyperlink ref="J236" r:id="rId233" xr:uid="{759C8C67-A1A6-46FD-9E1C-EBA2E6936294}"/>
    <hyperlink ref="J237" r:id="rId234" xr:uid="{E711C928-8C7D-4F9F-8C66-FF22629621E9}"/>
    <hyperlink ref="J238" r:id="rId235" xr:uid="{07861785-5550-4492-A1BD-5CDC7FEDB106}"/>
    <hyperlink ref="J239" r:id="rId236" xr:uid="{947FBEC1-1460-4DA6-907A-40EF52F3D462}"/>
    <hyperlink ref="J240" r:id="rId237" xr:uid="{4F8BFD68-9988-4E1D-8012-539874F85587}"/>
    <hyperlink ref="J241" r:id="rId238" xr:uid="{CCDF43B7-8D8D-4089-9573-D591EA67A3D5}"/>
    <hyperlink ref="J242" r:id="rId239" xr:uid="{4D967A97-139F-41FE-B4A9-71981FBC3D5E}"/>
    <hyperlink ref="J243" r:id="rId240" xr:uid="{607BEA02-7B2F-4C48-B284-E0C41BCC7C96}"/>
    <hyperlink ref="J244" r:id="rId241" xr:uid="{5CF869E7-4822-4C5D-88AF-1F561CEF4875}"/>
    <hyperlink ref="J245" r:id="rId242" xr:uid="{B1472A69-8014-43D5-971D-4E39D40E5029}"/>
    <hyperlink ref="J246" r:id="rId243" xr:uid="{E3D5B6A5-D523-483D-B437-20AC2E0FE810}"/>
    <hyperlink ref="J247" r:id="rId244" xr:uid="{C4AFE862-08BD-4669-8CB0-6831EFF69C4E}"/>
    <hyperlink ref="J248" r:id="rId245" xr:uid="{3394880F-C34C-45FE-B980-E17E947519A9}"/>
    <hyperlink ref="J249" r:id="rId246" xr:uid="{4EC4F0BD-047D-48FF-9B40-7C5F24A0797A}"/>
    <hyperlink ref="J250" r:id="rId247" xr:uid="{C267F2F5-397B-499A-B4F2-D70DCB6E85AD}"/>
    <hyperlink ref="J251" r:id="rId248" xr:uid="{5FAC8F1B-C71A-4698-947C-4CD39F1DBF6E}"/>
    <hyperlink ref="J252" r:id="rId249" xr:uid="{96BA581A-3AE2-48FB-8255-DCDEB6CBAF2A}"/>
    <hyperlink ref="J253" r:id="rId250" xr:uid="{FE9A4A8C-4F7A-424B-BFDF-9A830CDE4BAC}"/>
    <hyperlink ref="J254" r:id="rId251" xr:uid="{6E7D49FA-839A-437B-9A67-3EE2A0F39834}"/>
    <hyperlink ref="J255" r:id="rId252" xr:uid="{197C2274-8217-4D7B-B88B-38ABE2C44F1A}"/>
    <hyperlink ref="J256" r:id="rId253" xr:uid="{DCF219CD-BE23-445D-AF4F-7880B8159EE2}"/>
    <hyperlink ref="J257" r:id="rId254" xr:uid="{C6DF15F1-11E9-4CD7-B120-C81A688A87E5}"/>
    <hyperlink ref="J258" r:id="rId255" xr:uid="{1CAF0BE2-81E3-4D7E-9147-0911DB73CA32}"/>
    <hyperlink ref="J259" r:id="rId256" xr:uid="{8B5A4AD6-4477-44E2-9B5A-1F06EEC97411}"/>
    <hyperlink ref="J260" r:id="rId257" xr:uid="{72F29164-1381-4B8B-9843-30263EEE1276}"/>
    <hyperlink ref="J261" r:id="rId258" xr:uid="{93BBD5BA-3C54-4308-B820-9E5AED00E85E}"/>
    <hyperlink ref="J262" r:id="rId259" xr:uid="{594438F0-061E-4CE6-BFFA-17BC4507DEA0}"/>
    <hyperlink ref="J263" r:id="rId260" xr:uid="{098D5460-AF07-42DA-A5A1-C4873358A7C9}"/>
    <hyperlink ref="J264" r:id="rId261" xr:uid="{9F4054EF-78AD-4619-BC29-C2623EE3EA28}"/>
    <hyperlink ref="J265" r:id="rId262" xr:uid="{D7D56BA1-A462-4FD9-9AB7-F41C7A1B5EC4}"/>
    <hyperlink ref="J266" r:id="rId263" xr:uid="{BE75C0AD-6BB3-4B1A-86DA-62E673AC13B8}"/>
    <hyperlink ref="J267" r:id="rId264" xr:uid="{CC884342-F912-46AE-B309-80C4568946C5}"/>
    <hyperlink ref="J268" r:id="rId265" xr:uid="{BAAF83AC-EA20-4E4E-B4E0-D3F45BE50400}"/>
    <hyperlink ref="J269" r:id="rId266" xr:uid="{878DD398-9A05-441A-8CF5-89E921348EC0}"/>
    <hyperlink ref="J270" r:id="rId267" xr:uid="{F5180AE7-6E0F-48F1-8084-E4D055653E97}"/>
    <hyperlink ref="J271" r:id="rId268" xr:uid="{7C37B20E-17D8-442C-AC85-07A4367478EF}"/>
    <hyperlink ref="J272" r:id="rId269" xr:uid="{E8A48EDA-F704-4AD5-AB02-046ADF3AE448}"/>
    <hyperlink ref="J273" r:id="rId270" xr:uid="{3B44174D-F279-45E1-B219-17F2729DD97B}"/>
    <hyperlink ref="J274" r:id="rId271" xr:uid="{9EA71C5D-C75E-413B-927C-7621AD4491F5}"/>
    <hyperlink ref="J275" r:id="rId272" xr:uid="{8C869F9C-2EE3-427A-9635-C4F8B460440B}"/>
    <hyperlink ref="J276" r:id="rId273" xr:uid="{12E4FD86-C94D-497E-AE29-7C7112500D16}"/>
    <hyperlink ref="J277" r:id="rId274" xr:uid="{8555AE9C-8743-4771-AF4F-2BD412BC95C3}"/>
    <hyperlink ref="J278" r:id="rId275" xr:uid="{26135CE4-73F9-4B1B-AA50-47A858CB9D21}"/>
    <hyperlink ref="J279" r:id="rId276" xr:uid="{FC9CB29A-4C39-43A7-B608-EA723AD34665}"/>
    <hyperlink ref="J280" r:id="rId277" xr:uid="{4AE8C8AB-3B2B-4248-A064-DF1EA7C22702}"/>
    <hyperlink ref="J281" r:id="rId278" xr:uid="{5591A6CF-4F31-487E-A241-4AF887655B7F}"/>
    <hyperlink ref="J282" r:id="rId279" xr:uid="{CBFF1177-6DB5-45AF-824B-3A33B20E58F7}"/>
    <hyperlink ref="J283" r:id="rId280" xr:uid="{F746F833-8BF8-488B-A35A-426CBADA65A8}"/>
    <hyperlink ref="J284" r:id="rId281" xr:uid="{33497B3A-03FF-48A7-A01E-751ED600E866}"/>
    <hyperlink ref="J285" r:id="rId282" xr:uid="{4856C38C-9135-49DD-9587-06CD709BE2BA}"/>
    <hyperlink ref="J286" r:id="rId283" xr:uid="{03897266-DB27-4E05-8CA6-1424F85F8AB6}"/>
    <hyperlink ref="J287" r:id="rId284" xr:uid="{E99187E3-BFD9-4F3B-AB81-CDF868343339}"/>
    <hyperlink ref="J288" r:id="rId285" xr:uid="{628442FD-5565-4D52-99E2-1A4964C124C2}"/>
    <hyperlink ref="J289" r:id="rId286" xr:uid="{9B01210A-289B-4A66-BF22-5B8645ECA64A}"/>
    <hyperlink ref="J290" r:id="rId287" xr:uid="{95968ECC-8A84-48FF-85BD-9131A8711457}"/>
    <hyperlink ref="J291" r:id="rId288" xr:uid="{7139AD22-2071-40C5-B3AA-D8F44F6F8D82}"/>
    <hyperlink ref="J292" r:id="rId289" xr:uid="{78936A32-A38E-4C92-A428-A56869535A5A}"/>
    <hyperlink ref="J293" r:id="rId290" xr:uid="{3DB4BF42-7F64-4116-B27D-E5E004F8BC4A}"/>
    <hyperlink ref="J294" r:id="rId291" xr:uid="{B39FE62A-65E2-4C4D-B18B-3339716C4CC2}"/>
    <hyperlink ref="J295" r:id="rId292" xr:uid="{10C57288-FB01-414A-8359-C2422E6C771F}"/>
    <hyperlink ref="J296" r:id="rId293" xr:uid="{58F4FD45-9125-4679-BF83-560B3DB6E1F9}"/>
    <hyperlink ref="J297" r:id="rId294" xr:uid="{8DFCA4E2-EC7D-47EF-A7C8-D2D2191567B5}"/>
    <hyperlink ref="J298" r:id="rId295" xr:uid="{B7E710B6-9764-4703-9B2E-8D35072D9073}"/>
    <hyperlink ref="J299" r:id="rId296" xr:uid="{3E75CF56-9090-4F1C-A8D7-AFFA8A6C9633}"/>
    <hyperlink ref="J300" r:id="rId297" xr:uid="{494FDEE4-1809-46AD-8E5E-C9AAAB2D461B}"/>
    <hyperlink ref="J301" r:id="rId298" xr:uid="{DF355AB9-EB1A-475D-B19E-5C1450134748}"/>
    <hyperlink ref="J302" r:id="rId299" xr:uid="{A1825C77-96FF-4EEE-A756-E566097740B7}"/>
    <hyperlink ref="J303" r:id="rId300" xr:uid="{AE93EF44-24B4-4342-9417-6EF47ED5A2CC}"/>
    <hyperlink ref="J304" r:id="rId301" xr:uid="{18D25D04-69A0-4FB6-B9EC-C8E8A9A7A370}"/>
    <hyperlink ref="J305" r:id="rId302" xr:uid="{48CFE2DF-D3FE-4C3C-B302-D0DCAB3FDBB1}"/>
    <hyperlink ref="J306" r:id="rId303" xr:uid="{936D07B1-B6A7-448C-B381-FB7440899FAB}"/>
    <hyperlink ref="J307" r:id="rId304" xr:uid="{5B588D25-DE6A-4EB8-B813-BC44CA7209F9}"/>
    <hyperlink ref="J308" r:id="rId305" xr:uid="{1EFEE3C1-2545-41B4-8B5D-67E6ACFA9E02}"/>
    <hyperlink ref="J309" r:id="rId306" xr:uid="{36AF4B1F-0D87-43B8-8FE7-3C2B9E36C552}"/>
    <hyperlink ref="J310" r:id="rId307" xr:uid="{DDEB68FC-4743-406D-9027-F1BCC207A11E}"/>
    <hyperlink ref="J311" r:id="rId308" xr:uid="{A8977F76-0199-4F77-8FC5-C93C11CE8236}"/>
    <hyperlink ref="J312" r:id="rId309" xr:uid="{DDD1F5D8-BFE3-4578-8662-92C84C7535E9}"/>
    <hyperlink ref="J313" r:id="rId310" xr:uid="{8A79AC85-E766-47F7-97AE-D349565919DA}"/>
    <hyperlink ref="J314" r:id="rId311" xr:uid="{51FCCFF0-893F-4A4D-A1C7-2430C7473198}"/>
    <hyperlink ref="J315" r:id="rId312" xr:uid="{EA97AE31-7ACD-40F3-8FAD-5A224504F57B}"/>
    <hyperlink ref="J316" r:id="rId313" xr:uid="{6FBF7A16-E009-4446-8D2C-43AD6C189552}"/>
    <hyperlink ref="J317" r:id="rId314" xr:uid="{50EF8A89-46C7-4C13-858F-5B0B91B0A288}"/>
    <hyperlink ref="J318" r:id="rId315" xr:uid="{D96A7729-D6A0-4CA7-81A4-AF2687A05A34}"/>
    <hyperlink ref="J319" r:id="rId316" xr:uid="{0E8AF1D7-DCE9-4FE2-95AC-CC9CC9715C76}"/>
    <hyperlink ref="J320" r:id="rId317" xr:uid="{03DEDCAF-3FA1-4EB5-9B99-3D39E641B24D}"/>
    <hyperlink ref="J321" r:id="rId318" xr:uid="{8B7E3C3D-6C24-42E8-8C9A-3015DC27D8D5}"/>
    <hyperlink ref="J322" r:id="rId319" xr:uid="{1C93E299-EC3E-44B1-8ABE-61DF42CE93B5}"/>
    <hyperlink ref="J323" r:id="rId320" xr:uid="{70579DD4-0D6E-4BC6-9BBC-74CD79EAD465}"/>
    <hyperlink ref="J324" r:id="rId321" xr:uid="{F215E1FC-4DC4-4065-9EFF-15D2CE4658AC}"/>
    <hyperlink ref="J325" r:id="rId322" xr:uid="{5D2B2326-1F7F-43BF-AEE5-CB666A6C6AD2}"/>
    <hyperlink ref="J326" r:id="rId323" xr:uid="{D44443B1-6D7D-4794-B688-1D86ACECEEAF}"/>
    <hyperlink ref="J327" r:id="rId324" xr:uid="{8421FDEA-D87A-4D58-917A-F5ABBD70D158}"/>
    <hyperlink ref="J328" r:id="rId325" xr:uid="{4352675D-77CE-40DF-A769-4BA0807E5FAE}"/>
    <hyperlink ref="J329" r:id="rId326" xr:uid="{22F8D131-F093-4B86-B1A4-882F5F3DD174}"/>
    <hyperlink ref="J330" r:id="rId327" xr:uid="{0E0A8926-DCB5-4D53-B71A-6B5B2A8B4696}"/>
    <hyperlink ref="J331" r:id="rId328" xr:uid="{5CD5A31C-4779-4E8F-A602-F930467E4223}"/>
    <hyperlink ref="J332" r:id="rId329" xr:uid="{8FC5109C-FCD8-4FE1-B236-95FA137C70CD}"/>
    <hyperlink ref="J333" r:id="rId330" xr:uid="{D97D136B-C0ED-4A1D-9CEB-3FA53807C247}"/>
    <hyperlink ref="J334" r:id="rId331" xr:uid="{19BA3D79-656F-4238-8ABC-DFA0F919E07C}"/>
    <hyperlink ref="J335" r:id="rId332" xr:uid="{080164B2-8F20-4119-A2EE-A1B53FF6DF2D}"/>
    <hyperlink ref="J336" r:id="rId333" xr:uid="{76721E2E-DF7D-460F-816E-D32BAFAE9935}"/>
    <hyperlink ref="J337" r:id="rId334" xr:uid="{82C7AE59-AC3A-4C45-8EAB-FAEF3C97A0F1}"/>
    <hyperlink ref="J338" r:id="rId335" xr:uid="{D27AB073-6D69-4964-A06A-9E3CC7F2E609}"/>
    <hyperlink ref="J339" r:id="rId336" xr:uid="{D790AAAA-A403-4C1E-9DCC-42F1FAE62208}"/>
    <hyperlink ref="J340" r:id="rId337" xr:uid="{529B3A2D-766C-4A6E-BF0D-124FB6CFD12D}"/>
    <hyperlink ref="J341" r:id="rId338" xr:uid="{E097F53F-6929-41BB-95FA-68E785CA170C}"/>
    <hyperlink ref="J342" r:id="rId339" xr:uid="{23BBA7F4-E23C-48A7-888D-F7E2931D68D2}"/>
    <hyperlink ref="J343" r:id="rId340" xr:uid="{3A32F167-B008-4DEE-9493-45734274DD5E}"/>
    <hyperlink ref="J344" r:id="rId341" xr:uid="{EAA274D9-BA3D-4ECB-8192-13A12223ADE1}"/>
    <hyperlink ref="J345" r:id="rId342" xr:uid="{8FF1CC79-DA31-4C06-A451-256D650121CC}"/>
    <hyperlink ref="J346" r:id="rId343" xr:uid="{E0C36EDD-DE9A-4E10-934E-CF991876206A}"/>
    <hyperlink ref="J347" r:id="rId344" xr:uid="{0651D5D9-177E-4A97-8889-073995D49053}"/>
    <hyperlink ref="J348" r:id="rId345" xr:uid="{2B23C5F9-FD33-4098-B72C-30DB2545C98E}"/>
    <hyperlink ref="J349" r:id="rId346" xr:uid="{1C7387B8-B37D-4703-AA85-324DE5B8196B}"/>
    <hyperlink ref="J350" r:id="rId347" xr:uid="{C98A950E-4DE8-4A43-801C-8F36D790BC67}"/>
    <hyperlink ref="J351" r:id="rId348" xr:uid="{4D9454E5-DF26-4ACA-8562-3F2540469376}"/>
    <hyperlink ref="J352" r:id="rId349" xr:uid="{CC27A890-BAC8-4B11-A66E-5F60B536D7EB}"/>
    <hyperlink ref="J353" r:id="rId350" xr:uid="{F8930E97-09B4-436C-BC7A-37F67BA4A0B3}"/>
    <hyperlink ref="J354" r:id="rId351" xr:uid="{A09DF105-05C5-4409-8E5B-B0D16F3E0369}"/>
    <hyperlink ref="J355" r:id="rId352" xr:uid="{E14BB1B4-39DB-46C3-A684-AC4584BFAFC3}"/>
    <hyperlink ref="J356" r:id="rId353" xr:uid="{1B500C82-B8C8-4B9A-8A9B-FDA55A7FFDA1}"/>
    <hyperlink ref="J357" r:id="rId354" xr:uid="{2B83413D-7ED4-4CD1-B761-7C002074EFE9}"/>
    <hyperlink ref="J358" r:id="rId355" xr:uid="{A6571262-0F1D-4415-8922-8F74FA142025}"/>
    <hyperlink ref="J359" r:id="rId356" xr:uid="{A3DBF68A-2B74-441B-80E7-E99143EE89D2}"/>
    <hyperlink ref="J360" r:id="rId357" xr:uid="{E05C21B1-9993-4349-8D07-C24B317C8243}"/>
    <hyperlink ref="J361" r:id="rId358" xr:uid="{8AAA6CF1-31BB-43A9-9C8F-BF09B79AFEEF}"/>
    <hyperlink ref="J362" r:id="rId359" xr:uid="{C50ED99D-34E4-447A-A7A2-E978E53D2E62}"/>
    <hyperlink ref="J363" r:id="rId360" xr:uid="{8CF0CADE-C18D-410B-A157-3E351ABE6BC8}"/>
    <hyperlink ref="J364" r:id="rId361" xr:uid="{E915562E-7E8A-4DE5-AC87-ED6B2D816A1E}"/>
    <hyperlink ref="J365" r:id="rId362" xr:uid="{E33355DB-1F27-4D19-8C3A-951B28AB60DE}"/>
    <hyperlink ref="J366" r:id="rId363" xr:uid="{F574FE03-5F21-40B2-8956-317384C752A7}"/>
    <hyperlink ref="J367" r:id="rId364" xr:uid="{F1317D6A-888D-464A-9BBA-9E6E458022C3}"/>
    <hyperlink ref="J368" r:id="rId365" xr:uid="{BC96BCFF-2E5D-4384-A50C-D1BB4420A532}"/>
    <hyperlink ref="J369" r:id="rId366" xr:uid="{70866E57-E89C-4D9F-9D16-64CD3DB74CB0}"/>
    <hyperlink ref="J370" r:id="rId367" xr:uid="{85BB8DD2-7395-49E5-BC9A-5D016070AE77}"/>
    <hyperlink ref="J371" r:id="rId368" xr:uid="{2D0B3D59-5914-4404-8C38-962ACA469D44}"/>
    <hyperlink ref="J372" r:id="rId369" xr:uid="{EB03241D-722B-4955-944C-40B831FFBC84}"/>
    <hyperlink ref="J373" r:id="rId370" xr:uid="{2078E01D-B494-4E02-9082-2449E24D5FE5}"/>
    <hyperlink ref="J374" r:id="rId371" xr:uid="{4FD31F33-8C04-4DE3-A2FF-B8FDABF08E34}"/>
    <hyperlink ref="J375" r:id="rId372" xr:uid="{668FCD2B-BD1A-4320-BD05-BA6369C930E1}"/>
    <hyperlink ref="J376" r:id="rId373" xr:uid="{3855F950-BF2C-4DD6-8EFB-8F03016ABF7D}"/>
    <hyperlink ref="J377" r:id="rId374" xr:uid="{BF6B233E-2343-4C52-9EE4-46FA320F587B}"/>
    <hyperlink ref="J378" r:id="rId375" xr:uid="{B156CE82-383A-451D-B10A-D0C0E0474901}"/>
    <hyperlink ref="J379" r:id="rId376" xr:uid="{41EA9205-1DBF-4B5B-ACFF-0B865DEE196B}"/>
    <hyperlink ref="J380" r:id="rId377" xr:uid="{93FA3FBD-CF92-41F1-8C4F-3753CD9EA677}"/>
    <hyperlink ref="J381" r:id="rId378" xr:uid="{C7339CD2-B9EA-4630-A0CA-2FDB7FBD24C2}"/>
    <hyperlink ref="J382" r:id="rId379" xr:uid="{E27B659D-3B85-45A1-9058-D7DCE15873D3}"/>
    <hyperlink ref="J383" r:id="rId380" xr:uid="{454A4167-C97A-4E5E-BA10-B556A4C990E0}"/>
    <hyperlink ref="J384" r:id="rId381" xr:uid="{6E3A1826-AD85-4C95-A04B-E37E029D2D65}"/>
    <hyperlink ref="J385" r:id="rId382" xr:uid="{302F7920-9343-498F-B824-9C93038AE418}"/>
    <hyperlink ref="J386" r:id="rId383" xr:uid="{B37B09E7-8E95-461C-A0FD-40C53F266C42}"/>
    <hyperlink ref="J387" r:id="rId384" xr:uid="{79EA7E94-A89C-4BC0-9F73-ACB476FB3B38}"/>
    <hyperlink ref="J388" r:id="rId385" xr:uid="{1DC1E77A-DD5C-4638-B97E-A61EEB3792EE}"/>
    <hyperlink ref="J389" r:id="rId386" xr:uid="{911F2C85-F1DB-4C46-BDD4-0FE5B5C03F56}"/>
    <hyperlink ref="J390" r:id="rId387" xr:uid="{3AC8BD54-5A86-4F25-BC8D-FD0BF3408D15}"/>
    <hyperlink ref="J391" r:id="rId388" xr:uid="{82D198D3-3B69-4F44-9C6B-83A4DBA0A2AD}"/>
    <hyperlink ref="J392" r:id="rId389" xr:uid="{41E2A514-D7FD-4DCC-91E1-ACF733F5010C}"/>
    <hyperlink ref="J393" r:id="rId390" xr:uid="{2BE05A9C-7DDD-45AB-9047-EB68891F243C}"/>
    <hyperlink ref="J394" r:id="rId391" xr:uid="{E353ED73-0B5F-4CCF-8910-2833008231F4}"/>
    <hyperlink ref="J395" r:id="rId392" xr:uid="{ACDF16E4-E13F-4C4C-896F-EDD3676FCB87}"/>
    <hyperlink ref="J396" r:id="rId393" xr:uid="{3C9DDFC4-77EB-44B4-9714-E3C305351A2F}"/>
    <hyperlink ref="J397" r:id="rId394" xr:uid="{B66CC578-4ABD-4FE3-A31A-84285EFD8C1A}"/>
    <hyperlink ref="J398" r:id="rId395" xr:uid="{A99D738C-D641-4B04-A3F9-BDB21C151177}"/>
    <hyperlink ref="J399" r:id="rId396" xr:uid="{58A7A294-0072-41E2-A391-8D7A43867475}"/>
    <hyperlink ref="J400" r:id="rId397" xr:uid="{36DE5774-B85A-46C7-99FC-B7992375CC14}"/>
    <hyperlink ref="J401" r:id="rId398" xr:uid="{573B9FD8-A9DE-4372-A316-91832624934A}"/>
    <hyperlink ref="J402" r:id="rId399" xr:uid="{07CF0811-DAE5-477E-83FD-BF5B999DEBFE}"/>
    <hyperlink ref="J403" r:id="rId400" xr:uid="{FF14B928-1EE0-4B92-88EE-474707E7CD5B}"/>
    <hyperlink ref="J404" r:id="rId401" xr:uid="{D866F4AB-9D66-4948-82D6-EB5B03DE39A9}"/>
    <hyperlink ref="J405" r:id="rId402" xr:uid="{EF5E2E1E-86C5-4609-81F7-104A349364E3}"/>
    <hyperlink ref="J406" r:id="rId403" xr:uid="{DC581EA8-B9F9-406F-8079-C82E602860EB}"/>
    <hyperlink ref="J407" r:id="rId404" xr:uid="{5944D508-33C4-47A9-82E2-D7865FC99213}"/>
    <hyperlink ref="J408" r:id="rId405" xr:uid="{AA7954D1-A382-4828-A36B-3BCA2A1D2534}"/>
    <hyperlink ref="J409" r:id="rId406" xr:uid="{09DCAD14-B76E-4147-AB1E-1576F6B153D8}"/>
    <hyperlink ref="J410" r:id="rId407" xr:uid="{9DA8E174-257D-4346-8D8D-B523DFB047EB}"/>
    <hyperlink ref="J411" r:id="rId408" xr:uid="{6A4985C7-07ED-4512-8280-D07BF884478D}"/>
    <hyperlink ref="J412" r:id="rId409" xr:uid="{9E80D8EB-FD96-4309-97B9-8EC093BBF760}"/>
    <hyperlink ref="J413" r:id="rId410" xr:uid="{52D8A8B7-7EE9-40C6-8535-4DA42A513AF1}"/>
    <hyperlink ref="J414" r:id="rId411" xr:uid="{47727FB0-912D-4DCA-ACF1-24C7DDE22F28}"/>
    <hyperlink ref="J415" r:id="rId412" xr:uid="{89DE2BC1-F407-4EA0-B8DE-7394A4A4BC11}"/>
    <hyperlink ref="J416" r:id="rId413" xr:uid="{96D104B6-BF53-43F8-8B86-60EFAB32AA22}"/>
    <hyperlink ref="J417" r:id="rId414" xr:uid="{2B9B0E80-F222-41C0-8AD2-F2DD71BCD83B}"/>
    <hyperlink ref="J418" r:id="rId415" xr:uid="{C545CBC0-8CBB-4EE4-B9F4-341E0E9C816D}"/>
    <hyperlink ref="J419" r:id="rId416" xr:uid="{0056F1EA-3D38-4BB3-AA37-CF0E6D29C50C}"/>
    <hyperlink ref="J420" r:id="rId417" xr:uid="{4C9F5018-FDD7-47FD-9C0F-92959151E9F6}"/>
    <hyperlink ref="J421" r:id="rId418" xr:uid="{9D2CBAC1-54D9-4997-94A3-8522148173E7}"/>
    <hyperlink ref="J422" r:id="rId419" xr:uid="{D619783F-66DE-497C-9A7F-5574869BB09B}"/>
    <hyperlink ref="J423" r:id="rId420" xr:uid="{8E1E6CC9-ADBC-4439-AF38-46FF24564DD1}"/>
    <hyperlink ref="J424" r:id="rId421" xr:uid="{494135C8-EF7E-4F30-B873-412A6777ADDB}"/>
    <hyperlink ref="J425" r:id="rId422" xr:uid="{9E4283B8-C26E-4BEE-A237-25897C667260}"/>
    <hyperlink ref="J426" r:id="rId423" xr:uid="{D41E02C3-9455-4BF2-A441-C7BC2298EAF3}"/>
    <hyperlink ref="J427" r:id="rId424" xr:uid="{4DD7A602-DA3F-4ECA-8461-22037D9C30FF}"/>
    <hyperlink ref="J428" r:id="rId425" xr:uid="{7284F52A-B1D0-4C75-9B88-07727ACB91B3}"/>
    <hyperlink ref="J429" r:id="rId426" xr:uid="{AE7175A5-130A-495F-952F-2F56F1D1F55E}"/>
    <hyperlink ref="J430" r:id="rId427" xr:uid="{32E35438-4861-4556-9C72-68AA67B076B5}"/>
    <hyperlink ref="J431" r:id="rId428" xr:uid="{392E456A-0297-48A3-ACE5-8C2DDA9CE468}"/>
    <hyperlink ref="J432" r:id="rId429" xr:uid="{AB73D343-00F4-4E84-BAAF-8D5D71CD133E}"/>
    <hyperlink ref="J433" r:id="rId430" xr:uid="{E4D07C91-DA30-4E63-9DFC-0257E17A3282}"/>
    <hyperlink ref="J434" r:id="rId431" xr:uid="{E5307DBC-9412-45AD-A846-72FF363881A5}"/>
    <hyperlink ref="J435" r:id="rId432" xr:uid="{EA404136-9369-43AD-9257-8315B602DFD8}"/>
    <hyperlink ref="J436" r:id="rId433" xr:uid="{8136A973-0529-4DCD-9DBF-24935BF88700}"/>
    <hyperlink ref="J437" r:id="rId434" xr:uid="{6EAF8CF7-BC52-4CAF-8AB3-88B79E5B9323}"/>
    <hyperlink ref="J438" r:id="rId435" xr:uid="{896FC15D-9D46-412C-819C-7CF3576F5FEF}"/>
    <hyperlink ref="J439" r:id="rId436" xr:uid="{D93BB8C6-447B-42EA-98ED-5879F0DD56AE}"/>
    <hyperlink ref="J440" r:id="rId437" xr:uid="{317D8DC3-7FE1-4E08-8B24-A7F34C455C90}"/>
    <hyperlink ref="J441" r:id="rId438" xr:uid="{0685385D-1F3D-4027-B390-6775108233AA}"/>
    <hyperlink ref="J442" r:id="rId439" xr:uid="{D50F09B6-2D78-4F6C-B570-6C382F90FDEC}"/>
    <hyperlink ref="J443" r:id="rId440" xr:uid="{3FA1E039-C78A-4FD9-BFC0-7A42FAF47161}"/>
    <hyperlink ref="J444" r:id="rId441" xr:uid="{18B4CAAD-1A67-48D7-BFBA-7359F3A8C12C}"/>
    <hyperlink ref="J445" r:id="rId442" xr:uid="{A1CBC1BE-7EDD-46F5-8FA1-5AD1FAE5A8BC}"/>
    <hyperlink ref="J446" r:id="rId443" xr:uid="{2A5D9845-8B1D-40AB-A629-389259C33E45}"/>
    <hyperlink ref="J447" r:id="rId444" xr:uid="{1E2A09A7-8662-4454-A0B4-62C80DDE03E6}"/>
    <hyperlink ref="J448" r:id="rId445" xr:uid="{BCC65841-31A0-4A31-9B56-A057488B331B}"/>
    <hyperlink ref="J449" r:id="rId446" xr:uid="{D7818415-5D46-4FE8-A97D-6EA04434E1A9}"/>
    <hyperlink ref="J450" r:id="rId447" xr:uid="{5149030C-E9D7-4049-80F7-294B239D6D67}"/>
    <hyperlink ref="J451" r:id="rId448" xr:uid="{A92BA415-AE93-42B8-9D60-AA0A85E2CA93}"/>
    <hyperlink ref="J452" r:id="rId449" xr:uid="{99F60826-0390-421F-8D00-0CB2CBFCE8FE}"/>
    <hyperlink ref="J453" r:id="rId450" xr:uid="{A1FA6529-6F99-4E0E-9FF2-2787DD643EEC}"/>
    <hyperlink ref="J454" r:id="rId451" xr:uid="{843E7D47-220C-499A-9117-6114D25D4C8E}"/>
    <hyperlink ref="J455" r:id="rId452" xr:uid="{C8C087EB-FF7B-49E3-8633-507F5EE23574}"/>
    <hyperlink ref="J456" r:id="rId453" xr:uid="{9CCE7BEC-94B0-4664-AB38-D47ED9721136}"/>
    <hyperlink ref="J457" r:id="rId454" xr:uid="{AC74E0BA-9977-4C4C-BA27-40DE5B415EBB}"/>
    <hyperlink ref="J458" r:id="rId455" xr:uid="{83BB5534-6BB3-4DEE-829D-118E7A23EBA4}"/>
    <hyperlink ref="J459" r:id="rId456" xr:uid="{AC92A016-1486-426F-806C-C396CF291C10}"/>
    <hyperlink ref="J460" r:id="rId457" xr:uid="{C9EC7875-4A51-4D5A-8B28-5691B173EED0}"/>
    <hyperlink ref="J461" r:id="rId458" xr:uid="{68FF0280-A0C7-40C4-B35A-5A3057DF37F5}"/>
    <hyperlink ref="J462" r:id="rId459" xr:uid="{3273EBC4-9C97-4AFC-9823-A76432BE14DE}"/>
    <hyperlink ref="J463" r:id="rId460" xr:uid="{9D2557A3-7AD4-4490-A4F5-99851DBDFB21}"/>
    <hyperlink ref="J464" r:id="rId461" xr:uid="{ADF26287-B290-4D3E-B82E-E5786F67EDAD}"/>
    <hyperlink ref="J465" r:id="rId462" xr:uid="{B5D3A31C-0ACF-435A-A2AA-A3ABC6D83930}"/>
    <hyperlink ref="J466" r:id="rId463" xr:uid="{8663675A-D78E-4744-9BB6-577300D51A2A}"/>
    <hyperlink ref="J467" r:id="rId464" xr:uid="{F87BAA7F-7DC3-4939-A4F1-B9D9BBD283DE}"/>
    <hyperlink ref="J468" r:id="rId465" xr:uid="{0935E94B-6B29-484F-8813-7F90D386C790}"/>
    <hyperlink ref="J469" r:id="rId466" xr:uid="{6D7537B2-D686-4E62-A27B-B4889091A3F6}"/>
    <hyperlink ref="J470" r:id="rId467" xr:uid="{7DD297B6-70CC-42B2-AB03-9BCD7A0635AA}"/>
    <hyperlink ref="J471" r:id="rId468" xr:uid="{C5A58854-5F3C-4CE7-9F81-498EF30CAE80}"/>
    <hyperlink ref="J472" r:id="rId469" xr:uid="{DA6352AB-8597-45EB-BFA5-1D6316F3C2B2}"/>
    <hyperlink ref="J473" r:id="rId470" xr:uid="{B4211A24-2A6B-4631-B058-BD1B7EE4DE4D}"/>
    <hyperlink ref="J474" r:id="rId471" xr:uid="{13F54207-E60E-469E-87EB-05200D72FEF5}"/>
    <hyperlink ref="J475" r:id="rId472" xr:uid="{B48B7130-C721-4421-B049-1B095A922E48}"/>
    <hyperlink ref="J476" r:id="rId473" xr:uid="{CC773EB3-96D5-4C0A-BCD6-64FAAC0B2241}"/>
    <hyperlink ref="J477" r:id="rId474" xr:uid="{FD68EE20-5238-4BF1-8739-2AC1450F57FC}"/>
    <hyperlink ref="J478" r:id="rId475" xr:uid="{577B5F69-F083-40C3-A653-7892EF02DA52}"/>
    <hyperlink ref="J479" r:id="rId476" xr:uid="{D4DF1CBA-7AC1-464D-A379-A421871BF9E4}"/>
    <hyperlink ref="J480" r:id="rId477" xr:uid="{253F9B07-A10C-4B0D-B3BF-7C653311CCBE}"/>
    <hyperlink ref="J481" r:id="rId478" xr:uid="{9818818B-E4D4-4EB0-8A73-27FED8EB3244}"/>
    <hyperlink ref="J482" r:id="rId479" xr:uid="{B6B80AF7-92DB-4663-83E5-134CA9BA20F9}"/>
    <hyperlink ref="J483" r:id="rId480" xr:uid="{0BDB5460-1508-4E34-8198-16FD05D05448}"/>
    <hyperlink ref="J484" r:id="rId481" xr:uid="{FF802DFF-50CE-4BAF-A7E5-1AE955648F45}"/>
    <hyperlink ref="J485" r:id="rId482" xr:uid="{A0055E2E-4928-4D88-80D3-41CD10A9C038}"/>
    <hyperlink ref="J486" r:id="rId483" xr:uid="{05BD3186-4F3E-4BFF-90D6-8A6A3769B4C1}"/>
    <hyperlink ref="J487" r:id="rId484" xr:uid="{6E3F8E68-594C-446F-8617-0458214430C1}"/>
    <hyperlink ref="J488" r:id="rId485" xr:uid="{37D53061-E935-498C-B6ED-49F070DA73A3}"/>
    <hyperlink ref="J489" r:id="rId486" xr:uid="{DEE2B545-E92A-49BB-BBBC-E33497D6FB71}"/>
    <hyperlink ref="J490" r:id="rId487" xr:uid="{EE2D006E-1AA6-4BAA-91BC-388C2F739DDD}"/>
    <hyperlink ref="J491" r:id="rId488" xr:uid="{14000864-D493-46EF-996E-C17482F5ABCE}"/>
    <hyperlink ref="J492" r:id="rId489" xr:uid="{642F56E3-4760-42E0-AA54-FC940D0BB89D}"/>
    <hyperlink ref="J493" r:id="rId490" xr:uid="{E2CC4695-8FE6-4A58-87C5-CA992FDD97FA}"/>
    <hyperlink ref="J494" r:id="rId491" xr:uid="{793501B8-BFFE-42D6-8DA4-099F107868DB}"/>
    <hyperlink ref="J495" r:id="rId492" xr:uid="{78A0964F-8D5E-4D6B-BCF6-B4CBABB2B0B0}"/>
    <hyperlink ref="J496" r:id="rId493" xr:uid="{B7D8DF3A-ECAE-4065-9779-CA80623F6AA4}"/>
    <hyperlink ref="J497" r:id="rId494" xr:uid="{7DF1F654-35C5-4198-A24A-3227DB37378D}"/>
    <hyperlink ref="J498" r:id="rId495" xr:uid="{EED35080-92C5-4050-840D-066A9CB5D9E6}"/>
    <hyperlink ref="J499" r:id="rId496" xr:uid="{7C1FA7A1-F84B-4B97-9435-321D46A354F9}"/>
    <hyperlink ref="J500" r:id="rId497" xr:uid="{F6A6A44A-573D-40B8-95D4-7A22709B24C0}"/>
    <hyperlink ref="J501" r:id="rId498" xr:uid="{79D39734-B39D-46C0-B9D8-932F135881DD}"/>
    <hyperlink ref="J502" r:id="rId499" xr:uid="{1F273A68-655A-4FE8-AE92-42F2FEE11A6E}"/>
    <hyperlink ref="J503" r:id="rId500" xr:uid="{5C345BF3-D223-4D7C-A2BC-543C27593800}"/>
    <hyperlink ref="J504" r:id="rId501" xr:uid="{3E0F8DDC-C287-4B92-B57B-3D7E17EF75CA}"/>
    <hyperlink ref="J505" r:id="rId502" xr:uid="{C42B84D7-A3F5-4035-8E29-B47B4E466766}"/>
    <hyperlink ref="J506" r:id="rId503" xr:uid="{9F7E7633-4A0D-4743-8A52-5C2539452C4D}"/>
    <hyperlink ref="J507" r:id="rId504" xr:uid="{9B391D31-5754-4948-B253-ED1A8FB21674}"/>
    <hyperlink ref="J508" r:id="rId505" xr:uid="{D7A6AA24-0C23-483D-AD7B-0C4F31C63D8D}"/>
    <hyperlink ref="J509" r:id="rId506" xr:uid="{5A8721FE-9E87-4EA4-95FA-44C6F7841D5A}"/>
    <hyperlink ref="J510" r:id="rId507" xr:uid="{4CBB1BF1-DF32-4435-9F0A-0EB660460996}"/>
    <hyperlink ref="J511" r:id="rId508" xr:uid="{DCE47333-8CDB-4222-81C8-FAD707F16502}"/>
    <hyperlink ref="J512" r:id="rId509" xr:uid="{8777194B-9FB9-4E82-8E23-5E50D9647260}"/>
    <hyperlink ref="J513" r:id="rId510" xr:uid="{A9F680FE-843E-45F4-BA94-FDF518799142}"/>
    <hyperlink ref="J514" r:id="rId511" xr:uid="{A9F275E7-673F-4482-BFFE-A0921DAACFDF}"/>
    <hyperlink ref="J515" r:id="rId512" xr:uid="{8D67FA99-423B-492C-92A3-41CAE0510E18}"/>
    <hyperlink ref="J516" r:id="rId513" xr:uid="{859D044C-C507-4D20-AAFF-F55448F9736E}"/>
    <hyperlink ref="J517" r:id="rId514" xr:uid="{96CF5C09-91EA-4096-9363-91CA6F5997E5}"/>
    <hyperlink ref="J518" r:id="rId515" xr:uid="{13E190E0-BE4D-4502-8225-FF2B73308935}"/>
    <hyperlink ref="J519" r:id="rId516" xr:uid="{20B914A9-5D14-4317-AA4C-19FFA7258660}"/>
    <hyperlink ref="J520" r:id="rId517" xr:uid="{D9615D9C-7D1E-4834-B838-9711BB75FC31}"/>
    <hyperlink ref="J521" r:id="rId518" xr:uid="{F952C243-402B-4AA1-A6FB-298925FA1C11}"/>
    <hyperlink ref="J522" r:id="rId519" xr:uid="{E85D7153-D671-4A8A-A11A-50DE3F862594}"/>
    <hyperlink ref="J523" r:id="rId520" xr:uid="{521688A1-9FFE-4A8C-8615-716E55517503}"/>
    <hyperlink ref="J524" r:id="rId521" xr:uid="{4673F946-0523-43DA-9999-F9BF43E0D2DD}"/>
    <hyperlink ref="J525" r:id="rId522" xr:uid="{B2D69A7B-3DA9-4046-9FF1-4161BBE31196}"/>
    <hyperlink ref="J526" r:id="rId523" xr:uid="{FD231F68-52D7-4D07-9C36-4311E0126FE9}"/>
    <hyperlink ref="J527" r:id="rId524" xr:uid="{B3EADA73-FCA0-4B4E-9C3A-3BB38256D377}"/>
    <hyperlink ref="J528" r:id="rId525" xr:uid="{86977B8F-BAD6-49A0-A53D-D97D73C124A3}"/>
    <hyperlink ref="J529" r:id="rId526" xr:uid="{78C8FFB2-26DA-4A29-B77A-D2F394C7A87D}"/>
    <hyperlink ref="J530" r:id="rId527" xr:uid="{9A699FCE-70E1-4422-AA8B-8913A747090D}"/>
    <hyperlink ref="J531" r:id="rId528" xr:uid="{04E913B1-8A4A-4DC7-995A-FB2B01355DD4}"/>
    <hyperlink ref="J532" r:id="rId529" xr:uid="{3E04D820-BD0C-4475-9010-4D6217232764}"/>
    <hyperlink ref="J533" r:id="rId530" xr:uid="{C0017EF8-1B62-4FAE-A946-A49846F7514D}"/>
    <hyperlink ref="J534" r:id="rId531" xr:uid="{FC55E73B-020A-47C2-B8F8-61B891B7BACB}"/>
    <hyperlink ref="J535" r:id="rId532" xr:uid="{A372C3A8-8DBA-4F99-901F-A2A1C1894BA3}"/>
    <hyperlink ref="J536" r:id="rId533" xr:uid="{81D8133B-7F4E-45E1-A907-F929CC50A72F}"/>
    <hyperlink ref="J537" r:id="rId534" xr:uid="{55B172A1-D2D6-458A-A6E8-49CDA539F48E}"/>
    <hyperlink ref="J538" r:id="rId535" xr:uid="{A0887E44-3162-4E80-B6CA-F1C958C5CC80}"/>
    <hyperlink ref="J539" r:id="rId536" xr:uid="{453BE4A7-6599-4070-8868-DBD91BE35B1A}"/>
    <hyperlink ref="J540" r:id="rId537" xr:uid="{95B81C70-F50D-4C69-803C-4E62F85F5C29}"/>
    <hyperlink ref="J541" r:id="rId538" xr:uid="{CC31A335-BFDC-40AE-9BE8-098852646459}"/>
    <hyperlink ref="J542" r:id="rId539" xr:uid="{1873FC53-601C-4EEA-9C6C-F2BF4BC980E7}"/>
    <hyperlink ref="J543" r:id="rId540" xr:uid="{BB57F3C6-5E48-4098-97F7-D14A85203494}"/>
    <hyperlink ref="J544" r:id="rId541" xr:uid="{7B925C5F-5BB5-4E62-A96E-DBCDCBA88EDD}"/>
    <hyperlink ref="J545" r:id="rId542" xr:uid="{844C84BA-4E9C-47BB-A7A6-9347C452B1AB}"/>
    <hyperlink ref="J546" r:id="rId543" xr:uid="{50FC2933-5F4C-4463-9099-1ED58D2E293E}"/>
    <hyperlink ref="J547" r:id="rId544" xr:uid="{AC8DF931-4E84-4570-8FAE-615E58E19387}"/>
    <hyperlink ref="J548" r:id="rId545" xr:uid="{7484FB07-0691-4EB6-887E-3A6353EF8257}"/>
    <hyperlink ref="J549" r:id="rId546" xr:uid="{4DF0A555-178F-416D-AA5C-83D8778CB7EB}"/>
    <hyperlink ref="J550" r:id="rId547" xr:uid="{40DBC170-6EF0-4771-8DEF-5AAC990A3C0A}"/>
    <hyperlink ref="J551" r:id="rId548" xr:uid="{1FE90746-5BE5-45C1-814E-8EC6272EDB4E}"/>
    <hyperlink ref="J552" r:id="rId549" xr:uid="{2A8A696F-F84D-4345-884B-F5DAC44702BD}"/>
    <hyperlink ref="J553" r:id="rId550" xr:uid="{10CCEE56-ACEA-4ABC-B332-F8A3D1D6AAE8}"/>
    <hyperlink ref="J554" r:id="rId551" xr:uid="{A6FFDD98-0E97-4B51-AA5E-1F907350A3B6}"/>
    <hyperlink ref="J555" r:id="rId552" xr:uid="{AF81311E-C8CA-457E-B882-A2C912C7461C}"/>
    <hyperlink ref="J556" r:id="rId553" xr:uid="{29C267C1-0295-4A68-89BB-AC08C204E978}"/>
    <hyperlink ref="J557" r:id="rId554" xr:uid="{4D0D0B7A-1FCB-44E2-9943-9BD59037DF8C}"/>
    <hyperlink ref="J558" r:id="rId555" xr:uid="{C0F3057D-46FA-4A4E-85C3-41E7CC9D95FB}"/>
    <hyperlink ref="J559" r:id="rId556" xr:uid="{7FC0F4AB-9DF3-4F77-BA0C-496BD3A103E2}"/>
    <hyperlink ref="J560" r:id="rId557" xr:uid="{38BEF772-FF7E-4730-A755-F4996D4A0416}"/>
    <hyperlink ref="J561" r:id="rId558" xr:uid="{9FD0CC7E-1B77-4812-8717-3579403F14C4}"/>
    <hyperlink ref="J562" r:id="rId559" xr:uid="{A95EFD88-4B68-4436-8AED-E8C2306E4EF2}"/>
    <hyperlink ref="J563" r:id="rId560" xr:uid="{254BE234-C594-4245-84E8-E7CC674854C2}"/>
    <hyperlink ref="J564" r:id="rId561" xr:uid="{9C9E77A2-EB31-4856-984C-6CB7452926F4}"/>
    <hyperlink ref="J565" r:id="rId562" xr:uid="{DD89080E-EBD0-464B-8584-886A9FF1F64F}"/>
    <hyperlink ref="J566" r:id="rId563" xr:uid="{A98836E4-4561-4FB1-AF52-4C4E21F951DB}"/>
    <hyperlink ref="J567" r:id="rId564" xr:uid="{3CABC881-BB36-4DBA-AE7C-6915F174D572}"/>
    <hyperlink ref="J568" r:id="rId565" xr:uid="{D6C2F445-BA3B-45FD-A31E-467C703E5E92}"/>
    <hyperlink ref="J569" r:id="rId566" xr:uid="{62905CB9-869B-4034-A71F-B8E80F2B91FF}"/>
    <hyperlink ref="J570" r:id="rId567" xr:uid="{639905B5-BB84-4671-99AE-E984114B28B5}"/>
    <hyperlink ref="J571" r:id="rId568" xr:uid="{E9D7DEA9-AF1A-4F22-98C1-9B1F08E7E225}"/>
    <hyperlink ref="J572" r:id="rId569" xr:uid="{69EEBB74-AB84-4EE8-9743-E1975BC0B11F}"/>
    <hyperlink ref="J573" r:id="rId570" xr:uid="{09710DE4-AD3B-4670-9700-06B3F0E512FE}"/>
    <hyperlink ref="J574" r:id="rId571" xr:uid="{1BF65924-EA95-4565-8025-239A6ADF93C0}"/>
    <hyperlink ref="J575" r:id="rId572" xr:uid="{0D5D5C14-1853-46D1-864C-B45DEC28D997}"/>
    <hyperlink ref="J576" r:id="rId573" xr:uid="{A1B477D4-F401-4600-8FC5-FEE9DE3B9FF6}"/>
    <hyperlink ref="J577" r:id="rId574" xr:uid="{A33B5791-F23C-4DB5-B401-3BD52EF79C6D}"/>
    <hyperlink ref="J578" r:id="rId575" xr:uid="{93838CDA-6772-4506-B4F0-6540376E508A}"/>
    <hyperlink ref="J579" r:id="rId576" xr:uid="{45164680-C4C1-40D5-AEB3-4D2442F81486}"/>
    <hyperlink ref="J580" r:id="rId577" xr:uid="{3142CE7A-2FE9-4361-A300-9F2C3389C9A4}"/>
    <hyperlink ref="J581" r:id="rId578" xr:uid="{DE8483DB-B2E5-440E-99E0-4668D55CFE8D}"/>
    <hyperlink ref="J582" r:id="rId579" xr:uid="{73B7DA0C-1361-4378-BAC3-76AC70AF27C6}"/>
    <hyperlink ref="J583" r:id="rId580" xr:uid="{9F2021BD-F6D8-4FCE-9A16-4A7F4B48624A}"/>
    <hyperlink ref="J584" r:id="rId581" xr:uid="{D0ECF075-7469-4FF6-9E67-5B721CC182FB}"/>
    <hyperlink ref="J585" r:id="rId582" xr:uid="{8C6217A4-CFF7-42BA-AEA7-D607E0B2001D}"/>
    <hyperlink ref="J586" r:id="rId583" xr:uid="{45E0A13E-BF77-4112-A75A-B20DBE52A30C}"/>
    <hyperlink ref="J587" r:id="rId584" xr:uid="{184E8839-6758-45D4-8F61-2673C0F07D04}"/>
    <hyperlink ref="J588" r:id="rId585" xr:uid="{A2E15FA0-4701-41B2-9993-11D59CF97D49}"/>
    <hyperlink ref="J589" r:id="rId586" xr:uid="{8740B0A8-4D9B-4AE9-8F95-A623AFA6EC13}"/>
    <hyperlink ref="J590" r:id="rId587" xr:uid="{3862D6AE-9C67-43A3-B707-F3FE9D53E881}"/>
    <hyperlink ref="J591" r:id="rId588" xr:uid="{BE014958-6875-46C0-9ED6-FB6AFF1D9CAB}"/>
    <hyperlink ref="J592" r:id="rId589" xr:uid="{147C93A9-E4DE-4150-BA13-ABCF7A69E56B}"/>
    <hyperlink ref="J593" r:id="rId590" xr:uid="{8FE9BD3A-9A71-4496-B73C-CB451E705F9E}"/>
    <hyperlink ref="J594" r:id="rId591" xr:uid="{EB557FDE-754C-46F4-BE7B-4178574C24D0}"/>
    <hyperlink ref="J595" r:id="rId592" xr:uid="{B4A25488-1E38-47FB-8A11-3948BC4F86FE}"/>
    <hyperlink ref="J596" r:id="rId593" xr:uid="{DEFE50A7-99CC-4E29-9716-FC110F4A1DC3}"/>
    <hyperlink ref="J597" r:id="rId594" xr:uid="{A5DF13D9-BAEE-4175-8888-D048DB6AB1CD}"/>
    <hyperlink ref="J598" r:id="rId595" xr:uid="{8807064E-74F3-4158-8244-40D2042360FA}"/>
    <hyperlink ref="J599" r:id="rId596" xr:uid="{E7529210-14A5-4B75-8EC6-AFFA8AA9AFEA}"/>
    <hyperlink ref="J600" r:id="rId597" xr:uid="{AD229105-7676-4124-9135-E53D5EACEF58}"/>
    <hyperlink ref="J601" r:id="rId598" xr:uid="{74096ECD-09AC-4BBF-914C-567DE1A3B246}"/>
    <hyperlink ref="J602" r:id="rId599" xr:uid="{0D087407-5AB2-4CAD-AF44-283F3AABB907}"/>
    <hyperlink ref="J603" r:id="rId600" xr:uid="{D20C15A3-4DD2-444E-8EB7-0356801006BA}"/>
    <hyperlink ref="J604" r:id="rId601" xr:uid="{2F25E255-F09E-4584-9668-CF426CF840C4}"/>
    <hyperlink ref="J605" r:id="rId602" xr:uid="{3A2D1EAD-23FD-4142-972F-90A0C22EBD93}"/>
    <hyperlink ref="J606" r:id="rId603" xr:uid="{FF939974-65FD-465A-9292-A2F603D36B63}"/>
    <hyperlink ref="J607" r:id="rId604" xr:uid="{95FF7937-F3FC-40E6-BDA7-FC0B427DC912}"/>
    <hyperlink ref="J608" r:id="rId605" xr:uid="{EBA72AA2-32AE-49F1-90F2-47EAF0367C12}"/>
    <hyperlink ref="J609" r:id="rId606" xr:uid="{8F0D79BA-3C59-469F-8116-44714A0BC253}"/>
    <hyperlink ref="J610" r:id="rId607" xr:uid="{D7FBF72E-806A-4987-9328-34137FBE6DF8}"/>
    <hyperlink ref="J611" r:id="rId608" xr:uid="{5F0BE34C-AACC-4AA0-B579-9991C1818E66}"/>
    <hyperlink ref="J612" r:id="rId609" xr:uid="{4DCE3810-01F2-465B-9928-F176644DCFEA}"/>
    <hyperlink ref="J613" r:id="rId610" xr:uid="{EEFE1504-31FC-4A97-9876-3E9F2E95C7A5}"/>
    <hyperlink ref="J614" r:id="rId611" xr:uid="{4D44EE1D-F398-494C-A2A8-D602E12E1450}"/>
    <hyperlink ref="J615" r:id="rId612" xr:uid="{005950A2-5F25-46A1-A121-92515AA9FF01}"/>
    <hyperlink ref="J616" r:id="rId613" xr:uid="{716D52EC-D708-4495-941B-866F8BE763FA}"/>
    <hyperlink ref="J617" r:id="rId614" xr:uid="{71422DD4-27CC-4179-BF64-379A9EAADBBB}"/>
    <hyperlink ref="J618" r:id="rId615" xr:uid="{E8D68CE9-903F-4EA4-A954-1E551F5DB3DC}"/>
    <hyperlink ref="J619" r:id="rId616" xr:uid="{A3175568-B677-4872-BD7B-CADA37532444}"/>
    <hyperlink ref="J620" r:id="rId617" xr:uid="{6A59D771-9763-4218-8A2D-B882071EC327}"/>
    <hyperlink ref="J621" r:id="rId618" xr:uid="{A4BFBC77-3A83-4A99-A4DC-BB79A6E9E931}"/>
    <hyperlink ref="J622" r:id="rId619" xr:uid="{6D3145F7-0CC8-471A-978B-EB89CA17AEEE}"/>
    <hyperlink ref="J623" r:id="rId620" xr:uid="{C2E72251-BA30-4AB6-B770-52AD3A9CD87B}"/>
    <hyperlink ref="J624" r:id="rId621" xr:uid="{2CB2B16B-E657-4FCE-A7EC-4E5FDAE60BEA}"/>
    <hyperlink ref="J625" r:id="rId622" xr:uid="{8E2BB203-327C-457B-B514-242C43DF04B8}"/>
    <hyperlink ref="J626" r:id="rId623" xr:uid="{43F994AB-4F63-41A7-B052-89B51117E733}"/>
    <hyperlink ref="J627" r:id="rId624" xr:uid="{88737DD3-97AC-4D4F-950F-CEA6188C74E5}"/>
    <hyperlink ref="J628" r:id="rId625" xr:uid="{115D3B44-F9E7-471C-B7B1-AD0183DC3AAB}"/>
    <hyperlink ref="J629" r:id="rId626" xr:uid="{4601550F-948F-41CC-B674-1C6963144B69}"/>
    <hyperlink ref="J630" r:id="rId627" xr:uid="{FBC38A28-B614-4DE0-B58F-EAF0C705EA6B}"/>
    <hyperlink ref="J631" r:id="rId628" xr:uid="{374B71B8-A287-473C-8BDC-73C393E8E314}"/>
    <hyperlink ref="J632" r:id="rId629" xr:uid="{22AC35C3-2D44-408C-B2EE-A300AED67CFD}"/>
    <hyperlink ref="J633" r:id="rId630" xr:uid="{14BF5F7C-15FD-48DD-9DA2-2ED838973E2E}"/>
    <hyperlink ref="J634" r:id="rId631" xr:uid="{FD0898DD-1575-480F-BA16-C1AECB39BBD3}"/>
    <hyperlink ref="J635" r:id="rId632" xr:uid="{D550727F-CFCD-4FCA-8174-76CC1579F828}"/>
    <hyperlink ref="J636" r:id="rId633" xr:uid="{102304AF-B1E0-4792-AEC3-5F5F1E648DF6}"/>
    <hyperlink ref="J637" r:id="rId634" xr:uid="{C10A240A-BBF0-4E87-B217-5079956DF501}"/>
    <hyperlink ref="J638" r:id="rId635" xr:uid="{335F0EB3-9055-4DFC-AD84-D26C43675495}"/>
    <hyperlink ref="J639" r:id="rId636" xr:uid="{FE52E5E1-90BA-432B-BFE2-54E4DF3CBEFE}"/>
    <hyperlink ref="J640" r:id="rId637" xr:uid="{F9E9A428-FEF6-4CB5-9478-6A0F54BC86C9}"/>
    <hyperlink ref="J641" r:id="rId638" xr:uid="{4459C38B-3A23-4466-9FF2-DCBFDAED3218}"/>
    <hyperlink ref="J642" r:id="rId639" xr:uid="{BF9CA976-5DF0-40C4-B5D1-DA7C6A2DD53A}"/>
    <hyperlink ref="J643" r:id="rId640" xr:uid="{61996F9D-6F79-469F-8ED1-CF45CF51E7CA}"/>
    <hyperlink ref="J644" r:id="rId641" xr:uid="{25E46BC5-97C6-4859-9076-0C693B89A598}"/>
    <hyperlink ref="J645" r:id="rId642" xr:uid="{FC3AE013-BEB0-4EB7-8F1A-33C686674FA2}"/>
    <hyperlink ref="J646" r:id="rId643" xr:uid="{DC69854D-C232-4FC4-96C0-EB1E57FA90FE}"/>
    <hyperlink ref="J647" r:id="rId644" xr:uid="{12C00624-89C8-47D8-8B12-7780AFA77817}"/>
    <hyperlink ref="J648" r:id="rId645" xr:uid="{E62B6900-813D-42BB-A5AB-459D6B99DF20}"/>
    <hyperlink ref="J649" r:id="rId646" xr:uid="{C4F1847D-ADC7-4314-B9E7-7D4C7FD8569D}"/>
    <hyperlink ref="J650" r:id="rId647" xr:uid="{3F63350A-3304-481B-AD6A-766ABD95ABE9}"/>
    <hyperlink ref="J651" r:id="rId648" xr:uid="{5476EEA9-87AC-4A2E-A531-43E5B4B61A31}"/>
    <hyperlink ref="J652" r:id="rId649" xr:uid="{D653735F-8A45-4320-8AAA-91B8FC5988E7}"/>
    <hyperlink ref="J653" r:id="rId650" xr:uid="{12791B81-06FB-443D-B785-377E27F26E94}"/>
    <hyperlink ref="J654" r:id="rId651" xr:uid="{6E5B485F-3A4B-45FC-B217-7EBB98CF535E}"/>
    <hyperlink ref="J655" r:id="rId652" xr:uid="{3A6C1AE3-7360-4138-AF37-44B5D54B09D2}"/>
    <hyperlink ref="J656" r:id="rId653" xr:uid="{79C17A09-980F-4701-A2C8-B361ED640FA2}"/>
    <hyperlink ref="J657" r:id="rId654" xr:uid="{F520FB4B-89C8-4605-8496-02B0FCBCBC45}"/>
    <hyperlink ref="J658" r:id="rId655" xr:uid="{2980EF6D-80B9-4389-A884-23770D793C44}"/>
    <hyperlink ref="J659" r:id="rId656" xr:uid="{A3269F65-45A6-4BDF-B94C-83107A2DBCB9}"/>
    <hyperlink ref="J660" r:id="rId657" xr:uid="{30F86BE0-D88F-4544-914C-0BE946E1AFB5}"/>
    <hyperlink ref="J661" r:id="rId658" xr:uid="{D41FA312-596A-4963-BF22-544E1763B672}"/>
    <hyperlink ref="J662" r:id="rId659" xr:uid="{90859A7C-BB70-4E9F-BA75-E274CD9260AE}"/>
    <hyperlink ref="J663" r:id="rId660" xr:uid="{04B7EE1A-E679-47E4-916A-323DBBCBFD87}"/>
    <hyperlink ref="J664" r:id="rId661" xr:uid="{72BD3882-F36F-43C9-B27F-1D1A48CADA84}"/>
    <hyperlink ref="J665" r:id="rId662" xr:uid="{BCC5A75A-D47A-45C2-98A5-30A97C8D6A79}"/>
    <hyperlink ref="J666" r:id="rId663" xr:uid="{BEE23C99-9078-422C-A560-BE108D81CC78}"/>
    <hyperlink ref="J667" r:id="rId664" xr:uid="{D7F8918D-AAB2-4A88-8294-6EBFADA1DB97}"/>
    <hyperlink ref="J668" r:id="rId665" xr:uid="{D84E85B4-164A-4C5C-B2B6-937564E99A77}"/>
    <hyperlink ref="J669" r:id="rId666" xr:uid="{DE150453-D0D7-40B7-8E50-824A13497799}"/>
    <hyperlink ref="J670" r:id="rId667" xr:uid="{5AF58F8E-70A7-4DA0-ACD3-DF3985623136}"/>
    <hyperlink ref="J671" r:id="rId668" xr:uid="{D1029842-0753-4F56-99A2-04F282948723}"/>
    <hyperlink ref="J672" r:id="rId669" xr:uid="{5D6BABAF-570D-40B0-A62D-37FEE174E464}"/>
    <hyperlink ref="J673" r:id="rId670" xr:uid="{CBA6F443-8E9C-41AA-9E2F-A2F8DA058FE3}"/>
    <hyperlink ref="J674" r:id="rId671" xr:uid="{A19DBC79-6CCD-4728-877C-FCABEEE41EC2}"/>
    <hyperlink ref="J675" r:id="rId672" xr:uid="{9798F414-5A17-48B7-B532-494E6F48E4C1}"/>
    <hyperlink ref="J676" r:id="rId673" xr:uid="{5A137168-6229-4628-9C1A-A0B803BE90E4}"/>
    <hyperlink ref="J677" r:id="rId674" xr:uid="{BD9BE952-DDF1-427E-9D83-76BA2C440697}"/>
    <hyperlink ref="J678" r:id="rId675" xr:uid="{C9FB4538-41C1-4CC1-AE89-17C695CD54DA}"/>
    <hyperlink ref="J679" r:id="rId676" xr:uid="{5BF7D3A5-DC2C-42AF-846B-C99430C1B338}"/>
    <hyperlink ref="J680" r:id="rId677" xr:uid="{948782F1-245E-4DEB-A878-CFFDBEC314DF}"/>
    <hyperlink ref="J681" r:id="rId678" xr:uid="{5FEBD414-BAAA-4FC5-9696-E0D06324070D}"/>
    <hyperlink ref="J682" r:id="rId679" xr:uid="{46E5E6FF-5D7E-46C8-8BDF-4DEB439D1FBC}"/>
    <hyperlink ref="J683" r:id="rId680" xr:uid="{97BBF210-B1B1-46F7-8898-3AFBB7C45186}"/>
    <hyperlink ref="J684" r:id="rId681" xr:uid="{5183FF47-32A5-40E6-96FC-E166583B714A}"/>
    <hyperlink ref="J685" r:id="rId682" xr:uid="{0D84301F-1D8E-4E9B-9BDB-872F8F6534A2}"/>
    <hyperlink ref="J686" r:id="rId683" xr:uid="{08298E27-5FAD-4DB4-9205-099B9FBFDC5D}"/>
    <hyperlink ref="J687" r:id="rId684" xr:uid="{5C372DDC-A798-4520-B698-86CE495CE92C}"/>
    <hyperlink ref="J688" r:id="rId685" xr:uid="{EDE2AAD3-F5A0-4B3E-94F2-BB620C3FEDD6}"/>
    <hyperlink ref="J689" r:id="rId686" xr:uid="{10E60ACF-8948-4C54-8257-AA21AAD68500}"/>
    <hyperlink ref="J690" r:id="rId687" xr:uid="{793A5D7F-7F7D-4197-992F-4C7013EE69E7}"/>
    <hyperlink ref="J691" r:id="rId688" xr:uid="{6F840EA2-0345-4B1E-BF81-EBAAD59229ED}"/>
    <hyperlink ref="J692" r:id="rId689" xr:uid="{73A4E478-0402-4175-9C0E-D8B86359B8A5}"/>
    <hyperlink ref="J693" r:id="rId690" xr:uid="{38244044-F7D2-42B7-9D84-6D24C6205BB7}"/>
    <hyperlink ref="J694" r:id="rId691" xr:uid="{885243FF-2C46-4952-9D47-F22B8DFD0CC3}"/>
    <hyperlink ref="J695" r:id="rId692" xr:uid="{C2CBB3C8-A51C-47FB-9D5F-735919DC013E}"/>
    <hyperlink ref="J696" r:id="rId693" xr:uid="{1556D052-F0E5-4916-9564-1C30C87D1B3A}"/>
    <hyperlink ref="J697" r:id="rId694" xr:uid="{7D5AB290-3095-4CF5-936D-5FF345AADF24}"/>
    <hyperlink ref="J698" r:id="rId695" xr:uid="{AE2D75AA-4527-47BE-AFBB-7DD09B9E81EE}"/>
    <hyperlink ref="J699" r:id="rId696" xr:uid="{1CACCE4D-245E-4090-BA4B-9EB35DC7F2C9}"/>
    <hyperlink ref="J700" r:id="rId697" xr:uid="{194ACB87-4105-45F4-BB95-B50EB66D35E4}"/>
    <hyperlink ref="J701" r:id="rId698" xr:uid="{C8FAF036-27F3-45B3-8B4A-2FF62C78FA94}"/>
    <hyperlink ref="J702" r:id="rId699" xr:uid="{3424FAF2-D0E5-4407-A02F-EC52B79C0221}"/>
    <hyperlink ref="J703" r:id="rId700" xr:uid="{E6B6627D-0A40-4D0C-BB60-6139F5A2F152}"/>
    <hyperlink ref="J704" r:id="rId701" xr:uid="{E9AF4477-F8CD-4B7D-9C3E-B37139E7537C}"/>
    <hyperlink ref="J705" r:id="rId702" xr:uid="{1221BA7E-370B-4914-9685-1AE47849158A}"/>
    <hyperlink ref="J706" r:id="rId703" xr:uid="{FBF0A36C-B476-46C9-9601-3B8AA99D6BA9}"/>
    <hyperlink ref="J707" r:id="rId704" xr:uid="{E9826141-795F-423F-9903-AAFA252B179B}"/>
    <hyperlink ref="J708" r:id="rId705" xr:uid="{1DEB6C92-B9EF-416E-A42C-28A834117AEB}"/>
    <hyperlink ref="J709" r:id="rId706" xr:uid="{E06E5799-F2E2-4240-9D21-342D638BD8D7}"/>
    <hyperlink ref="J710" r:id="rId707" xr:uid="{7589C366-098E-41FE-9433-6C259A8EF762}"/>
    <hyperlink ref="J711" r:id="rId708" xr:uid="{B395E48B-8F7F-40D0-8FC1-B2D50E1A5114}"/>
    <hyperlink ref="J712" r:id="rId709" xr:uid="{C8E3DF1C-DB94-436B-A7FF-EB39373B2362}"/>
    <hyperlink ref="J713" r:id="rId710" xr:uid="{FBE21775-94E6-4FA4-853A-BA0BA03B934C}"/>
    <hyperlink ref="J714" r:id="rId711" xr:uid="{9093190E-F9C4-4DA3-ABB7-53B34B036C7C}"/>
    <hyperlink ref="J715" r:id="rId712" xr:uid="{35463B13-7764-462F-88EA-3229327001B7}"/>
    <hyperlink ref="J716" r:id="rId713" xr:uid="{4CD29E64-1D1E-42BA-B6FB-5BB7BEE6983C}"/>
    <hyperlink ref="J717" r:id="rId714" xr:uid="{27B1692C-DB93-4298-8643-0B4980648BEC}"/>
    <hyperlink ref="J718" r:id="rId715" xr:uid="{E96F8F53-DE09-4DA9-9330-79658EFE5467}"/>
    <hyperlink ref="J719" r:id="rId716" xr:uid="{36013955-B4DC-4221-925C-C307CEC8035A}"/>
    <hyperlink ref="J720" r:id="rId717" xr:uid="{7B22CC8E-5ED6-4077-9831-23EE0699B26C}"/>
    <hyperlink ref="J721" r:id="rId718" xr:uid="{0BA033A3-9540-44FA-BFBC-9674A26AEA09}"/>
    <hyperlink ref="J722" r:id="rId719" xr:uid="{4477197D-0C21-4E93-B8F3-3F8430165754}"/>
    <hyperlink ref="J723" r:id="rId720" xr:uid="{43C21D97-B035-4E7C-BAB0-6B45BB92B702}"/>
    <hyperlink ref="J724" r:id="rId721" xr:uid="{A2814C63-7156-424B-A41E-6A9FE1E113CD}"/>
    <hyperlink ref="J725" r:id="rId722" xr:uid="{63D8B592-B23B-4C85-810D-455DE0FD8364}"/>
    <hyperlink ref="J726" r:id="rId723" xr:uid="{4101DFB5-C2C1-4ECE-9482-DBA2C6716C7E}"/>
    <hyperlink ref="J727" r:id="rId724" xr:uid="{25DBDD5C-392A-4625-A73A-8908A761E667}"/>
    <hyperlink ref="J728" r:id="rId725" xr:uid="{4C89DC36-CDB2-444F-9AE4-8927C279CAC4}"/>
    <hyperlink ref="J729" r:id="rId726" xr:uid="{B59B14BC-7303-4762-82AC-E3635AC194B7}"/>
    <hyperlink ref="J730" r:id="rId727" xr:uid="{2E488DCC-3AF2-4309-87CF-E94AFCE3A874}"/>
    <hyperlink ref="J731" r:id="rId728" xr:uid="{CAF1559B-6B65-4859-892E-1E68C5A9DCD0}"/>
    <hyperlink ref="J732" r:id="rId729" xr:uid="{AA6DD83C-6CF5-43F3-8F93-4C351BE97700}"/>
    <hyperlink ref="J733" r:id="rId730" xr:uid="{D7D8AD87-FED1-422F-A0C2-D2FAF94D7F10}"/>
    <hyperlink ref="J734" r:id="rId731" xr:uid="{46290C09-9DE1-43DA-842F-80D9F76E248A}"/>
    <hyperlink ref="J735" r:id="rId732" xr:uid="{02AF889D-5ED4-4618-BBF6-8D269DD71114}"/>
    <hyperlink ref="J736" r:id="rId733" xr:uid="{1B1DCF93-2F4A-4C61-ACBC-0E85CDB28F3B}"/>
    <hyperlink ref="J737" r:id="rId734" xr:uid="{46CFBC75-EB45-49C1-A67E-A3EE419B0917}"/>
    <hyperlink ref="J738" r:id="rId735" xr:uid="{7BD68A00-5816-4038-9205-4F725C9667CA}"/>
    <hyperlink ref="J739" r:id="rId736" xr:uid="{A28146CE-E28E-49D8-A9AA-7678F71686B1}"/>
    <hyperlink ref="J740" r:id="rId737" xr:uid="{C3F168CF-8192-4DF5-B094-2A6E72152FE6}"/>
    <hyperlink ref="J741" r:id="rId738" xr:uid="{CADE4287-5808-4820-BEDF-FF81C9C2BDA9}"/>
    <hyperlink ref="J742" r:id="rId739" xr:uid="{6E2CBD9D-7851-403F-B329-A1106010CB1A}"/>
    <hyperlink ref="J743" r:id="rId740" xr:uid="{49113CD9-EA0E-4A7D-86D6-7688132F5A1E}"/>
    <hyperlink ref="J744" r:id="rId741" xr:uid="{621D9724-DCE5-4017-8A64-3E39913712A8}"/>
    <hyperlink ref="J745" r:id="rId742" xr:uid="{D701F07A-4B27-4752-9A53-5C2434F3EFA5}"/>
    <hyperlink ref="J746" r:id="rId743" xr:uid="{8BAB4AAF-BF11-475C-B92E-ED673B119859}"/>
    <hyperlink ref="J747" r:id="rId744" xr:uid="{2E8B11AE-92AD-4C17-B6E5-D9E3EDAF2006}"/>
    <hyperlink ref="J748" r:id="rId745" xr:uid="{E673090D-CAD8-4944-868C-50E8C003D9C8}"/>
    <hyperlink ref="J749" r:id="rId746" xr:uid="{D94F2F02-6FBF-4556-A2FF-A8379242B2D5}"/>
    <hyperlink ref="J750" r:id="rId747" xr:uid="{A50DDB1B-DE72-4E28-9B8C-248A7079D515}"/>
    <hyperlink ref="J751" r:id="rId748" xr:uid="{20370D49-AE01-4C38-9DFA-3313D3935FD9}"/>
    <hyperlink ref="J752" r:id="rId749" xr:uid="{CC1724E0-9F24-4488-B84C-BB5AAB8F43C5}"/>
    <hyperlink ref="J753" r:id="rId750" xr:uid="{B78F0F42-6F68-47D6-AC30-57865973A544}"/>
    <hyperlink ref="J754" r:id="rId751" xr:uid="{2DF61829-EE2C-4A4D-879A-F60F12D8A4DE}"/>
    <hyperlink ref="J755" r:id="rId752" xr:uid="{A2823128-BD87-4F1F-8B72-56ADCD0EFFBF}"/>
    <hyperlink ref="J756" r:id="rId753" xr:uid="{0296F468-C966-4711-A03E-5D98492482C0}"/>
    <hyperlink ref="J757" r:id="rId754" xr:uid="{F6BCADF7-B86D-4402-BA7A-99F711C310CC}"/>
    <hyperlink ref="J758" r:id="rId755" xr:uid="{17F5D701-D194-4A7F-9A1D-D5B8420D5683}"/>
    <hyperlink ref="J759" r:id="rId756" xr:uid="{451CB6A4-7D68-4D4F-93B5-78E085B98DF6}"/>
    <hyperlink ref="J760" r:id="rId757" xr:uid="{126EF461-1CC2-4CE6-8773-4DD844F6216F}"/>
    <hyperlink ref="J761" r:id="rId758" xr:uid="{A09E42CC-606F-4CAD-868A-FC26E0370EE4}"/>
    <hyperlink ref="J762" r:id="rId759" xr:uid="{71DF6AB1-ABB9-4883-8D8F-0D56C17384DE}"/>
    <hyperlink ref="J763" r:id="rId760" xr:uid="{4B77A8DF-B560-4CB8-9F79-AAD3762B2FA4}"/>
    <hyperlink ref="J764" r:id="rId761" xr:uid="{20ABE226-199E-4FD8-AD30-B9D8067DDB55}"/>
    <hyperlink ref="J765" r:id="rId762" xr:uid="{CE0088B9-4EB6-4C38-9538-86F384039AAF}"/>
    <hyperlink ref="J766" r:id="rId763" xr:uid="{73D82373-4889-4A5D-9C11-977A8ADCCC68}"/>
    <hyperlink ref="J767" r:id="rId764" xr:uid="{B8788BDB-CDEE-4B4F-B85B-3AAE2C0668FA}"/>
    <hyperlink ref="J768" r:id="rId765" xr:uid="{79DCC9B4-496A-4A4F-8A23-4BF2F45CF401}"/>
    <hyperlink ref="J769" r:id="rId766" xr:uid="{85EA5442-33AD-4F48-B4E9-56C99BD03994}"/>
    <hyperlink ref="J770" r:id="rId767" xr:uid="{8745ABE3-B54A-41F5-8CD9-0536C411E1DF}"/>
    <hyperlink ref="J771" r:id="rId768" xr:uid="{6E4C819F-0CC5-47C4-BBC5-FA06B516FB78}"/>
    <hyperlink ref="J772" r:id="rId769" xr:uid="{F367ED3E-7039-4B4E-A4B4-3C11570FE2F4}"/>
    <hyperlink ref="J773" r:id="rId770" xr:uid="{72467E2F-0EE3-4950-ACE2-5E987051D824}"/>
    <hyperlink ref="J774" r:id="rId771" xr:uid="{AAF03FB4-563F-4D96-AAC4-954B24DDDB36}"/>
    <hyperlink ref="J775" r:id="rId772" xr:uid="{B88B1B58-7129-40E8-A7B8-601405DA3AB3}"/>
    <hyperlink ref="J776" r:id="rId773" xr:uid="{B7AEB1FA-8183-4A10-810E-BCF9D79C0F19}"/>
    <hyperlink ref="J777" r:id="rId774" xr:uid="{C66CC81A-81A3-4B5F-B5FB-D36C8DEB8A43}"/>
    <hyperlink ref="J778" r:id="rId775" xr:uid="{B599DD60-C116-4F8C-B68F-C050A4F63C4B}"/>
    <hyperlink ref="J779" r:id="rId776" xr:uid="{E9DAD93E-8D53-44CF-AFF9-9C5A8EE288BF}"/>
    <hyperlink ref="J780" r:id="rId777" xr:uid="{0ECA373D-9783-4ED3-8434-C48971F2EC62}"/>
    <hyperlink ref="J781" r:id="rId778" xr:uid="{33BD1ABB-9961-42B6-8CB2-39C896DA8A22}"/>
    <hyperlink ref="J782" r:id="rId779" xr:uid="{544866D5-2FC4-4FFC-BC44-F4E052A02F05}"/>
    <hyperlink ref="J783" r:id="rId780" xr:uid="{DCC5A602-067C-4E2E-81F6-8FEBC8F67D19}"/>
    <hyperlink ref="J784" r:id="rId781" xr:uid="{4E8B1884-42CE-44F4-A447-1867D8052FB9}"/>
    <hyperlink ref="J785" r:id="rId782" xr:uid="{FFE8ECF8-6CDA-45EE-BEF5-2006D9C87E28}"/>
    <hyperlink ref="J786" r:id="rId783" xr:uid="{58CFC2B7-ACEC-4837-AE6C-26F45A2DE3CA}"/>
    <hyperlink ref="J787" r:id="rId784" xr:uid="{D7403181-C283-41BA-811B-6956D463BFB3}"/>
    <hyperlink ref="J788" r:id="rId785" xr:uid="{F3B82A6C-F9D4-4085-8F9D-07D313BBB5E9}"/>
    <hyperlink ref="J789" r:id="rId786" xr:uid="{6A1259CF-EAD5-42AF-9ACF-1A0E1A8F962F}"/>
    <hyperlink ref="J790" r:id="rId787" xr:uid="{3C84686C-1680-4B3B-BE15-A935EBAE9327}"/>
    <hyperlink ref="J791" r:id="rId788" xr:uid="{7E8C3DC9-73CA-4849-9511-EF0E518BD172}"/>
    <hyperlink ref="J792" r:id="rId789" xr:uid="{78DE1E3D-6A96-44A0-B040-4D41C17E85D5}"/>
    <hyperlink ref="J793" r:id="rId790" xr:uid="{80FF5997-1E01-438D-B59D-57335F380B95}"/>
    <hyperlink ref="J794" r:id="rId791" xr:uid="{056593AA-A5B4-49B2-B511-AE5CE638B1B5}"/>
    <hyperlink ref="J795" r:id="rId792" xr:uid="{8615AA1B-7AC5-4ECC-A1AE-3BA1AE866753}"/>
    <hyperlink ref="J796" r:id="rId793" xr:uid="{E1E55C05-CF6F-4963-91A8-24A04C922068}"/>
    <hyperlink ref="J797" r:id="rId794" xr:uid="{EA28B7E1-D2F5-49C3-806B-72CECBFA1AD5}"/>
    <hyperlink ref="J798" r:id="rId795" xr:uid="{D90A653C-9869-4B3F-9398-64FCFAB7ECD2}"/>
    <hyperlink ref="J799" r:id="rId796" xr:uid="{E2A62074-23D7-4B8B-A6BA-E6D0F1241501}"/>
    <hyperlink ref="J800" r:id="rId797" xr:uid="{2B3C96DB-4B08-4972-94D5-FA8660849466}"/>
    <hyperlink ref="J801" r:id="rId798" xr:uid="{496CD72E-C350-4BF7-934C-EE258E103354}"/>
    <hyperlink ref="J802" r:id="rId799" xr:uid="{78F635EB-DE54-4A2D-9C78-5A1FA8DA229E}"/>
    <hyperlink ref="J803" r:id="rId800" xr:uid="{BD371FB0-AE7A-4973-8871-7E0832BA73E3}"/>
    <hyperlink ref="J804" r:id="rId801" xr:uid="{5E461AE7-55D2-4B11-815E-45A3A5576DD6}"/>
    <hyperlink ref="J805" r:id="rId802" xr:uid="{B9E265F2-3A50-40CC-AD3B-5FEE10F4F545}"/>
    <hyperlink ref="J806" r:id="rId803" xr:uid="{16D236C6-A6BD-495B-92F6-EC3D04BEB882}"/>
    <hyperlink ref="J807" r:id="rId804" xr:uid="{558DDB88-04CE-4856-97B6-1C23D8B8C978}"/>
    <hyperlink ref="J808" r:id="rId805" xr:uid="{0A862E7E-888E-48C7-908C-A81976C1A00D}"/>
    <hyperlink ref="J809" r:id="rId806" xr:uid="{4A739BEE-DD24-4E5E-882B-41EFDA23A64C}"/>
    <hyperlink ref="J810" r:id="rId807" xr:uid="{9FB03658-7CF5-4EFD-8505-3E506EC5B1FE}"/>
    <hyperlink ref="J811" r:id="rId808" xr:uid="{B5C2F6FD-5EC0-4998-B3EA-65CAFAA67535}"/>
    <hyperlink ref="J812" r:id="rId809" xr:uid="{890316DE-00CE-4CBC-8F7C-552D3EF15C0C}"/>
    <hyperlink ref="J813" r:id="rId810" xr:uid="{E17B33FF-FFE4-429D-AA5C-01BF0998582E}"/>
    <hyperlink ref="J814" r:id="rId811" xr:uid="{96C7C575-AA8D-428A-81B3-4DFDF066FA8C}"/>
    <hyperlink ref="J815" r:id="rId812" xr:uid="{7372D192-7649-4C12-A174-93934F0958E2}"/>
    <hyperlink ref="J816" r:id="rId813" xr:uid="{87E2969C-9D7D-425A-903E-48D54B75AC60}"/>
    <hyperlink ref="J817" r:id="rId814" xr:uid="{A235ECB7-DAB8-4A62-8C7E-2E17E27D8970}"/>
    <hyperlink ref="J818" r:id="rId815" xr:uid="{CF395913-5B48-4E4C-8BBF-087AC2B988AD}"/>
    <hyperlink ref="J819" r:id="rId816" xr:uid="{550C70F1-E3A1-4EB4-A90B-9D6942617544}"/>
    <hyperlink ref="J820" r:id="rId817" xr:uid="{E14FDF77-FB02-4196-8B83-C65A63F963C5}"/>
    <hyperlink ref="J821" r:id="rId818" xr:uid="{4E08A0B8-4703-4B91-8D0E-083E4345B38A}"/>
    <hyperlink ref="J822" r:id="rId819" xr:uid="{DEB69BE9-E4D3-429C-BBC5-0617AFC5B43E}"/>
    <hyperlink ref="J823" r:id="rId820" xr:uid="{11089F48-C834-4F26-A7B5-F217A9DEC0CF}"/>
    <hyperlink ref="J824" r:id="rId821" xr:uid="{64B303D7-427F-47D7-A7F6-2DC9FD2EF075}"/>
    <hyperlink ref="J825" r:id="rId822" xr:uid="{C13C071E-C2C6-42D2-B22C-9F5E364DE731}"/>
    <hyperlink ref="J826" r:id="rId823" xr:uid="{9B828924-CB49-46D4-AC13-9402501C8550}"/>
    <hyperlink ref="J827" r:id="rId824" xr:uid="{8F38C214-8868-456C-AC34-78ECEE57AFAC}"/>
    <hyperlink ref="J828" r:id="rId825" xr:uid="{4D769993-FAAC-4BD2-A5FF-3C987B48E822}"/>
    <hyperlink ref="J829" r:id="rId826" xr:uid="{ED3F540F-9E08-4F64-8166-7C5AD9F1F536}"/>
    <hyperlink ref="J830" r:id="rId827" xr:uid="{AEB52D10-C8DA-49C0-99AC-56692CD7E21E}"/>
    <hyperlink ref="J831" r:id="rId828" xr:uid="{87ABCB75-41D4-44E9-913D-56CB143B072D}"/>
    <hyperlink ref="J832" r:id="rId829" xr:uid="{0D5BBAFF-AC74-4EAA-8B64-8C7D57C7B45B}"/>
    <hyperlink ref="J833" r:id="rId830" xr:uid="{B08DF02E-2EF5-411D-851C-E3EE0A66C285}"/>
    <hyperlink ref="J834" r:id="rId831" xr:uid="{56B39F1C-9969-4677-BB68-36A03A915C2E}"/>
    <hyperlink ref="J835" r:id="rId832" xr:uid="{37473220-8442-48DF-8733-8E1DF70B2833}"/>
    <hyperlink ref="J836" r:id="rId833" xr:uid="{E7C98CA2-B7B4-4AAD-985F-69AF3A559D50}"/>
    <hyperlink ref="J837" r:id="rId834" xr:uid="{EE5354CA-219A-44B2-BBC2-55C0F7F6F86C}"/>
    <hyperlink ref="J838" r:id="rId835" xr:uid="{A83AE79B-7A45-4F66-B8F2-726EDA52991F}"/>
    <hyperlink ref="J839" r:id="rId836" xr:uid="{C7AB9211-06D8-42B7-8C84-DDC65D7C803E}"/>
    <hyperlink ref="J840" r:id="rId837" xr:uid="{4F8C8170-9611-4B8E-AC3B-E56E827A0B64}"/>
    <hyperlink ref="J841" r:id="rId838" xr:uid="{00587FD9-E311-4CFB-BC09-F72CDA2D8791}"/>
    <hyperlink ref="J842" r:id="rId839" xr:uid="{9BD0D4C5-C8EC-4123-BA6F-AADF1DD256A1}"/>
    <hyperlink ref="J843" r:id="rId840" xr:uid="{BAB3D85A-1FA3-42A3-94D6-FEE8A1AEEC56}"/>
    <hyperlink ref="J844" r:id="rId841" xr:uid="{533FB31A-7206-4F73-A185-5ED5D66CECFF}"/>
    <hyperlink ref="J845" r:id="rId842" xr:uid="{CBD8CC19-4997-4262-A430-E78FCFF4A0EB}"/>
    <hyperlink ref="J846" r:id="rId843" xr:uid="{FF49E105-DCC7-4331-B6F7-4F99BB07BDE3}"/>
    <hyperlink ref="J847" r:id="rId844" xr:uid="{FFE2F195-309D-4A8A-B582-154546B22830}"/>
    <hyperlink ref="J848" r:id="rId845" xr:uid="{40350063-0AF4-40F5-9622-2D06DCA4CE59}"/>
    <hyperlink ref="J849" r:id="rId846" xr:uid="{97ECFD19-A3ED-4335-8A5C-D8C277F4DEE6}"/>
    <hyperlink ref="J850" r:id="rId847" xr:uid="{DCE4C160-02D9-4C87-872D-7E4B98FADDF2}"/>
    <hyperlink ref="J851" r:id="rId848" xr:uid="{9EF0C678-FF80-4DF6-8668-707FC6A4DCD6}"/>
    <hyperlink ref="J852" r:id="rId849" xr:uid="{1F1760B9-58BC-4C07-8CE9-468920F71B52}"/>
    <hyperlink ref="J853" r:id="rId850" xr:uid="{B2A9E4BB-F6A6-4D2E-BDFA-2E0E4299DA19}"/>
    <hyperlink ref="J854" r:id="rId851" xr:uid="{11C9EBA4-A959-4475-95F7-D66A244FF58B}"/>
    <hyperlink ref="J855" r:id="rId852" xr:uid="{FFDF5070-5581-4342-AA58-3EB71E61BD4D}"/>
    <hyperlink ref="J856" r:id="rId853" xr:uid="{05F7E4E1-3854-4006-81EE-F2F4D03E5B5F}"/>
    <hyperlink ref="J857" r:id="rId854" xr:uid="{D2B4052A-9872-48BE-A986-355051E57C99}"/>
    <hyperlink ref="J858" r:id="rId855" xr:uid="{AA1A6D24-9030-4DE7-873A-5D5A5E9834A6}"/>
    <hyperlink ref="J859" r:id="rId856" xr:uid="{A4D9B4D6-56E4-4F9B-A38C-D2B50AF20DE2}"/>
    <hyperlink ref="J860" r:id="rId857" xr:uid="{27CB526B-2133-4B04-A2E4-A4E1177E5B9A}"/>
    <hyperlink ref="J861" r:id="rId858" xr:uid="{1CC2243C-BA46-4BBB-99F9-54897BA2C97A}"/>
    <hyperlink ref="J862" r:id="rId859" xr:uid="{F339EAB4-4946-48AE-A11F-436486A7C9EC}"/>
    <hyperlink ref="J863" r:id="rId860" xr:uid="{7F5FE50F-0E94-4683-B893-A849F5AD09EA}"/>
    <hyperlink ref="J864" r:id="rId861" xr:uid="{760B9989-3776-407C-A9B5-4AD3F65E1EBA}"/>
    <hyperlink ref="J865" r:id="rId862" xr:uid="{BC89E7DB-D5CA-4B4D-918C-064E459B6B77}"/>
    <hyperlink ref="J866" r:id="rId863" xr:uid="{2D8A496A-C571-4CFE-9744-A775F72DBBB9}"/>
    <hyperlink ref="J867" r:id="rId864" xr:uid="{711E09B5-0E93-45CF-8D53-0343AC3AC9EC}"/>
    <hyperlink ref="J868" r:id="rId865" xr:uid="{27397F0F-FCA5-4290-BBEE-7A8F74E7F44A}"/>
    <hyperlink ref="J869" r:id="rId866" xr:uid="{33134093-67B6-41AA-800B-FDD4CF09C753}"/>
    <hyperlink ref="J870" r:id="rId867" xr:uid="{C44A8FB8-9782-45C3-89F1-37F225EE855E}"/>
    <hyperlink ref="J871" r:id="rId868" xr:uid="{098DF190-02A3-4E88-91B9-1069167A6403}"/>
    <hyperlink ref="J872" r:id="rId869" xr:uid="{EC10DCF6-ECAE-44ED-A768-99114DE3C2F8}"/>
    <hyperlink ref="J873" r:id="rId870" xr:uid="{D6A12A80-3226-419C-A867-2BA52C19DDFB}"/>
    <hyperlink ref="J874" r:id="rId871" xr:uid="{C09324FA-C2B6-4975-A500-3B3CB6C2CB22}"/>
    <hyperlink ref="J875" r:id="rId872" xr:uid="{25B678C1-6178-48E8-A667-6E7610F4052E}"/>
    <hyperlink ref="J876" r:id="rId873" xr:uid="{B74460D2-3E79-42FC-B44A-3D04243E4F12}"/>
    <hyperlink ref="J877" r:id="rId874" xr:uid="{85A2DE27-F113-46A3-AFD0-79150EB85783}"/>
    <hyperlink ref="J878" r:id="rId875" xr:uid="{AE69B3B4-896F-43C0-A6E3-AEE4D7A2C355}"/>
    <hyperlink ref="J879" r:id="rId876" xr:uid="{14DFD5BB-0966-46E7-9EE8-C2F76FA6F7A3}"/>
    <hyperlink ref="J880" r:id="rId877" xr:uid="{B97196D8-FD42-49FA-A217-FA59721F00A8}"/>
    <hyperlink ref="J881" r:id="rId878" xr:uid="{7AE21C91-D1D8-4CE5-9200-C11546643D37}"/>
    <hyperlink ref="J882" r:id="rId879" xr:uid="{40F8479C-4B0D-4229-AC4B-3E2DCF6400C4}"/>
    <hyperlink ref="J883" r:id="rId880" xr:uid="{8A1188D0-B2C9-49C7-8786-C591098710A9}"/>
    <hyperlink ref="J884" r:id="rId881" xr:uid="{FA8DF66A-49C0-47C1-84FC-47917DFE4863}"/>
    <hyperlink ref="J885" r:id="rId882" xr:uid="{0C4053A5-BB51-4146-8F2E-4E6E1109B6F5}"/>
    <hyperlink ref="J886" r:id="rId883" xr:uid="{333E3E82-0C22-4B5E-A18D-870ADDDDBE27}"/>
    <hyperlink ref="J887" r:id="rId884" xr:uid="{EAB18AA8-817A-4E1B-A036-A8BC1006C7C9}"/>
    <hyperlink ref="J888" r:id="rId885" xr:uid="{A64C5E2E-63CD-45D3-8BAB-431276D9A836}"/>
    <hyperlink ref="J889" r:id="rId886" xr:uid="{1B71DF8C-C23C-4781-BB44-14D957725D93}"/>
    <hyperlink ref="J890" r:id="rId887" xr:uid="{F0B3F311-382B-43C5-8F72-BA471E64C099}"/>
    <hyperlink ref="J891" r:id="rId888" xr:uid="{8A4AF8F8-2F4C-48DB-B7C7-C4F312CC448E}"/>
    <hyperlink ref="J892" r:id="rId889" xr:uid="{5CD92E83-C767-4EEB-B085-7D566B577A9B}"/>
    <hyperlink ref="J893" r:id="rId890" xr:uid="{F1FD70A3-6683-4C38-8042-5A9099D0443E}"/>
    <hyperlink ref="J894" r:id="rId891" xr:uid="{5405694B-659B-4F15-9617-3151D47C9762}"/>
    <hyperlink ref="J895" r:id="rId892" xr:uid="{D51389D3-9843-409A-94C8-CE616A1FEDC2}"/>
    <hyperlink ref="J896" r:id="rId893" xr:uid="{63E8ABFD-1F28-4D54-8FBF-F312B6443BAB}"/>
    <hyperlink ref="J897" r:id="rId894" xr:uid="{2CF38A77-A75B-4A3E-91AA-6CC3F33CCE8E}"/>
    <hyperlink ref="J898" r:id="rId895" xr:uid="{E0C7155C-6273-4A05-9FB5-5320AC2FF161}"/>
    <hyperlink ref="J899" r:id="rId896" xr:uid="{016932A2-FE6F-443C-B7F8-BF3B1F6D3114}"/>
    <hyperlink ref="J900" r:id="rId897" xr:uid="{E5FCA97B-ECCA-4011-9633-CDEF5AAD8D58}"/>
    <hyperlink ref="J901" r:id="rId898" xr:uid="{58C93828-4F74-4748-AD86-9981BB13FCAC}"/>
    <hyperlink ref="J902" r:id="rId899" xr:uid="{159D29CA-C9FB-4E83-92D4-D6E053619A8E}"/>
    <hyperlink ref="J903" r:id="rId900" xr:uid="{464DBACA-1682-4ABA-9AE8-10FDCB4CFF2E}"/>
    <hyperlink ref="J904" r:id="rId901" xr:uid="{2E4EBB84-6CBE-4322-A764-5091521724A7}"/>
    <hyperlink ref="J905" r:id="rId902" xr:uid="{A19C280D-185A-4DB1-BF7C-2E7FB9BD8F3F}"/>
    <hyperlink ref="J906" r:id="rId903" xr:uid="{1AAF9A64-362D-4423-8F59-B8424788A84C}"/>
    <hyperlink ref="J907" r:id="rId904" xr:uid="{25645828-3ADD-4030-83FB-D8A0DC7D57D3}"/>
    <hyperlink ref="J908" r:id="rId905" xr:uid="{75C07509-1757-4431-ABF4-20DA062BC769}"/>
    <hyperlink ref="J909" r:id="rId906" xr:uid="{FBCFB4EF-B737-4C30-971E-3A2BB67C40F7}"/>
    <hyperlink ref="J910" r:id="rId907" xr:uid="{FFC4BB64-5843-493F-9ED8-EDC649A4A53C}"/>
    <hyperlink ref="J911" r:id="rId908" xr:uid="{91530F6E-CD1A-414C-A1AF-57E426D07C4F}"/>
    <hyperlink ref="J912" r:id="rId909" xr:uid="{A04116DF-3F08-4455-B8DD-B52204C8A467}"/>
    <hyperlink ref="J913" r:id="rId910" xr:uid="{8A927C9A-3F65-4E83-A41B-8F30B6D22D2D}"/>
    <hyperlink ref="J914" r:id="rId911" xr:uid="{237946B4-0146-43EE-B1C0-22112D21D375}"/>
    <hyperlink ref="J915" r:id="rId912" xr:uid="{6DF869F3-33AD-43E6-9BC4-57AD05EFF667}"/>
    <hyperlink ref="J916" r:id="rId913" xr:uid="{212EC17A-0DCD-4388-9A53-CD4D6FF8D08C}"/>
    <hyperlink ref="J917" r:id="rId914" xr:uid="{A9DC95F8-C91B-4A9D-98C7-A775A7F0ACF0}"/>
    <hyperlink ref="J918" r:id="rId915" xr:uid="{A1928110-8BEF-4C3C-8F2F-96E45F2548D6}"/>
    <hyperlink ref="J919" r:id="rId916" xr:uid="{DA981194-38D1-4336-BBAE-FB3243728105}"/>
    <hyperlink ref="J920" r:id="rId917" xr:uid="{400185CD-24AA-4ADB-8927-4FCB691EED54}"/>
    <hyperlink ref="J921" r:id="rId918" xr:uid="{E192CEE5-40BD-4A77-A04A-875A7C000734}"/>
    <hyperlink ref="J922" r:id="rId919" xr:uid="{5ED60266-D867-427A-BC6C-9C421E125AD9}"/>
    <hyperlink ref="J923" r:id="rId920" xr:uid="{42F09124-7AB3-49AC-9126-2F6820E0324E}"/>
    <hyperlink ref="J924" r:id="rId921" xr:uid="{B5EF91CE-DCEA-40C8-8161-136ED513A10A}"/>
    <hyperlink ref="J925" r:id="rId922" xr:uid="{C823B7EF-D914-4821-8603-1B9A468E3D55}"/>
    <hyperlink ref="J926" r:id="rId923" xr:uid="{AE722EF1-DF97-4D44-BDD5-253BD855F8D2}"/>
    <hyperlink ref="J927" r:id="rId924" xr:uid="{607AB092-2965-4842-A4B0-7649B95AD1BF}"/>
    <hyperlink ref="J928" r:id="rId925" xr:uid="{87BDB4F9-4B6E-4353-B588-063559ECB409}"/>
    <hyperlink ref="J929" r:id="rId926" xr:uid="{796273B2-2802-4CD9-A4B0-363D99863F8B}"/>
    <hyperlink ref="J930" r:id="rId927" xr:uid="{7F13EC6E-6CDE-46CC-BBEE-3CDE822779F3}"/>
    <hyperlink ref="J931" r:id="rId928" xr:uid="{92F07E22-A2F5-4C77-A2D7-6C31BA406534}"/>
    <hyperlink ref="J932" r:id="rId929" xr:uid="{0CF19226-ADC0-4C00-B3D5-AF876180276C}"/>
    <hyperlink ref="J933" r:id="rId930" xr:uid="{FC673EBB-2610-4F19-8206-E68F84995DC7}"/>
    <hyperlink ref="J934" r:id="rId931" xr:uid="{5342F4D4-4E62-4AF2-9A52-E1E14E5056EC}"/>
    <hyperlink ref="J935" r:id="rId932" xr:uid="{A660CFF3-6536-40AA-9E50-A6EFC1B9093F}"/>
    <hyperlink ref="J936" r:id="rId933" xr:uid="{F5BC8643-B1C1-4C23-99E9-42C3A0EE11BB}"/>
    <hyperlink ref="J937" r:id="rId934" xr:uid="{0B4DB4B5-129E-4668-9C02-B5A2CD43160C}"/>
    <hyperlink ref="J938" r:id="rId935" xr:uid="{089BC81E-FE95-4C71-A3FB-F6B8A89856CA}"/>
    <hyperlink ref="J939" r:id="rId936" xr:uid="{CB9F42DB-A3D4-4822-8B78-1DA84C0BA2BC}"/>
    <hyperlink ref="J940" r:id="rId937" xr:uid="{F3F5E8C4-8DE4-4827-AE14-91B41E721374}"/>
    <hyperlink ref="J941" r:id="rId938" xr:uid="{E96FECB6-8E8B-4505-A76E-5DB2ED2A1003}"/>
    <hyperlink ref="J942" r:id="rId939" xr:uid="{54ED6195-E77B-4058-8390-EC4F748D3F75}"/>
    <hyperlink ref="J943" r:id="rId940" xr:uid="{E43D980C-3316-4F23-9786-C97B42CDE687}"/>
    <hyperlink ref="J944" r:id="rId941" xr:uid="{AC4A3E7E-759C-49C6-AF12-FD36328A2B4E}"/>
    <hyperlink ref="J945" r:id="rId942" xr:uid="{37D8F00D-64A2-4196-9968-71F7EEF979A5}"/>
    <hyperlink ref="J946" r:id="rId943" xr:uid="{618390B0-7BD2-4DF2-A62F-E4F02E86B525}"/>
    <hyperlink ref="J947" r:id="rId944" xr:uid="{8CCA2463-7693-4A92-8CBD-6112347B6D6F}"/>
    <hyperlink ref="J948" r:id="rId945" xr:uid="{2DCEF950-C078-4EC5-8FD2-8292637AEB75}"/>
    <hyperlink ref="J949" r:id="rId946" xr:uid="{6C96E4F3-3A55-44B8-9AF6-D980036578A0}"/>
    <hyperlink ref="J950" r:id="rId947" xr:uid="{DDFB446B-A051-4EE6-9663-0B250B9675F2}"/>
    <hyperlink ref="J951" r:id="rId948" xr:uid="{54FC1E67-B388-4123-93D8-B9EC321086BB}"/>
    <hyperlink ref="J952" r:id="rId949" xr:uid="{227C5C59-2515-4062-A37C-6A013FB8FC92}"/>
    <hyperlink ref="J953" r:id="rId950" xr:uid="{AA3CDA13-EA15-4984-AF94-DD698F1647EA}"/>
    <hyperlink ref="J954" r:id="rId951" xr:uid="{46B00F33-2F75-481C-8E1F-0ECC227F8200}"/>
    <hyperlink ref="J955" r:id="rId952" xr:uid="{74290F51-D10C-4B63-AFF4-78FBF36DD098}"/>
    <hyperlink ref="J956" r:id="rId953" xr:uid="{F7554032-216C-4D9A-A2C4-C1CC1A483847}"/>
    <hyperlink ref="J957" r:id="rId954" xr:uid="{496DD0B9-9BBB-4DEE-908F-59ED3CCF7D89}"/>
    <hyperlink ref="J958" r:id="rId955" xr:uid="{5E1FDA1B-DCB1-4B19-AA7A-6503F3C48566}"/>
    <hyperlink ref="J959" r:id="rId956" xr:uid="{967FCC72-4FE4-4307-8F59-20BA638B4742}"/>
    <hyperlink ref="J960" r:id="rId957" xr:uid="{145BAC40-A9AB-428C-92F9-A49594629718}"/>
    <hyperlink ref="J961" r:id="rId958" xr:uid="{E9EE0B6B-9DF4-443F-A1ED-94770E84E8DF}"/>
    <hyperlink ref="J962" r:id="rId959" xr:uid="{0A80EBD7-D4FF-411F-BD96-1A804284EB4A}"/>
    <hyperlink ref="J963" r:id="rId960" xr:uid="{4E0986F5-75A3-47C7-833E-402BF3EF061A}"/>
    <hyperlink ref="J964" r:id="rId961" xr:uid="{6FEFBD51-0399-4B08-8846-901FCA42BB8E}"/>
    <hyperlink ref="J965" r:id="rId962" xr:uid="{27F7E86D-B272-40C3-BB2D-1BDFC6A91858}"/>
    <hyperlink ref="J966" r:id="rId963" xr:uid="{DAE54057-E083-4C29-9FDA-527EDF62B74B}"/>
    <hyperlink ref="J967" r:id="rId964" xr:uid="{E919CA98-0BFE-4C1A-9DC9-8D3603B889BF}"/>
    <hyperlink ref="J968" r:id="rId965" xr:uid="{62B839D7-3687-44EC-9718-1D0216DB4F50}"/>
    <hyperlink ref="J969" r:id="rId966" xr:uid="{00FCFE51-3A13-4055-9FD0-DD9C9F73D37A}"/>
    <hyperlink ref="J970" r:id="rId967" xr:uid="{BF195288-3482-42CE-82C6-779380CD739E}"/>
    <hyperlink ref="J971" r:id="rId968" xr:uid="{51F46E7F-BE28-4CC1-8286-F2D4AFD0C5FF}"/>
    <hyperlink ref="J972" r:id="rId969" xr:uid="{D3FCA0CD-A37B-4E5A-9001-0F5401F520A0}"/>
    <hyperlink ref="J973" r:id="rId970" xr:uid="{EC4BCC73-AE01-41A8-B5D6-D03A4619135D}"/>
    <hyperlink ref="J974" r:id="rId971" xr:uid="{389D3E12-E9A3-49A9-B746-2155FF8BD951}"/>
    <hyperlink ref="J975" r:id="rId972" xr:uid="{527AAFB7-217A-48FF-9720-0183FC709F5D}"/>
    <hyperlink ref="J976" r:id="rId973" xr:uid="{70BE9C91-D4C6-4D5C-BFF9-1864E709C917}"/>
    <hyperlink ref="J977" r:id="rId974" xr:uid="{A98FD093-5516-432B-B9DE-B7988791E484}"/>
    <hyperlink ref="J978" r:id="rId975" xr:uid="{4DBFC672-9925-4520-B2F1-F1B53B2571E2}"/>
    <hyperlink ref="J979" r:id="rId976" xr:uid="{879D14B7-181E-4FE3-A290-663ED6346734}"/>
    <hyperlink ref="J980" r:id="rId977" xr:uid="{F6B7E119-4E3C-4D56-AEF5-D2D3EA176B20}"/>
    <hyperlink ref="J981" r:id="rId978" xr:uid="{CAD95759-74BB-4A7D-9EBC-4C0296AAA48A}"/>
    <hyperlink ref="J982" r:id="rId979" xr:uid="{5BE122B4-8A76-4032-9DD6-B3329DC85CB4}"/>
    <hyperlink ref="J983" r:id="rId980" xr:uid="{65A2FCF3-BB5A-47F5-8624-53E781BBFA68}"/>
    <hyperlink ref="J984" r:id="rId981" xr:uid="{7707044E-8CB4-4814-A79D-7B3BA357E879}"/>
    <hyperlink ref="J985" r:id="rId982" xr:uid="{0D71F80F-0B66-420E-AB85-00171AD7EE8D}"/>
    <hyperlink ref="J986" r:id="rId983" xr:uid="{AAEF432A-7231-495A-878D-E6C59BA3E711}"/>
    <hyperlink ref="J987" r:id="rId984" xr:uid="{CB2452E2-77AF-4F50-ADD9-F0B81A3FD1F3}"/>
    <hyperlink ref="J988" r:id="rId985" xr:uid="{CFBE4B9C-7EE0-4E3E-98EB-29148F5DF9E6}"/>
    <hyperlink ref="J989" r:id="rId986" xr:uid="{8C042A42-465E-48E6-9427-01E998C94ABE}"/>
    <hyperlink ref="J990" r:id="rId987" xr:uid="{CA8D3B1F-86FF-43CE-936A-0B085F4A1FDB}"/>
    <hyperlink ref="J991" r:id="rId988" xr:uid="{7AC5417F-3476-4CFA-B867-263E08879395}"/>
    <hyperlink ref="J992" r:id="rId989" xr:uid="{4E8ED280-9355-44FD-94F3-24365E30A551}"/>
    <hyperlink ref="J993" r:id="rId990" xr:uid="{9CCF14E0-CAC1-4EFD-88DA-EB3FCCDA6576}"/>
    <hyperlink ref="J994" r:id="rId991" xr:uid="{6F110F95-536D-4BB0-901C-402A24CFB464}"/>
    <hyperlink ref="J995" r:id="rId992" xr:uid="{DD4A1793-66AB-4B7B-8E97-0BB4AF5929CB}"/>
    <hyperlink ref="J996" r:id="rId993" xr:uid="{B4DA0C10-01CD-4C9E-BAD0-4E3201C29073}"/>
    <hyperlink ref="J997" r:id="rId994" xr:uid="{1B8B2466-DAD7-40EA-BAAC-C0C962E2DBFF}"/>
    <hyperlink ref="J998" r:id="rId995" xr:uid="{2C5EA5AC-DE17-4F5E-9647-5DE7A0EC1C1B}"/>
    <hyperlink ref="J999" r:id="rId996" xr:uid="{683CB8A5-E428-4495-9B18-B80637B33B0F}"/>
    <hyperlink ref="J1000" r:id="rId997" xr:uid="{1113D3B4-02F7-4109-A71D-C6EA782AEE6B}"/>
    <hyperlink ref="J1001" r:id="rId998" xr:uid="{009FBBF9-3A31-42A6-85EE-113AA96F1B6E}"/>
    <hyperlink ref="J1002" r:id="rId999" xr:uid="{A27B7C59-CBA0-46D9-9514-612E1B55A887}"/>
    <hyperlink ref="J1003" r:id="rId1000" xr:uid="{ECE54EB5-0C11-47DE-B1A7-03EF138C4369}"/>
    <hyperlink ref="J1004" r:id="rId1001" xr:uid="{9B3CCD89-6A7A-423F-8D52-ED4CD3242B82}"/>
    <hyperlink ref="J1005" r:id="rId1002" xr:uid="{AEB3761F-FB16-4181-B1E5-E4E217B7CFFD}"/>
    <hyperlink ref="J1006" r:id="rId1003" xr:uid="{8198C916-1E64-4B0C-B326-57C901AC8AE8}"/>
    <hyperlink ref="J1007" r:id="rId1004" xr:uid="{E9392554-B554-4E1B-8348-9B7D226ACC2E}"/>
    <hyperlink ref="J1008" r:id="rId1005" xr:uid="{B3515BA0-2DE9-4644-B6C9-162C4048FD79}"/>
    <hyperlink ref="J1009" r:id="rId1006" xr:uid="{00C53732-D92B-4F99-9603-71DCB4F2ED8D}"/>
    <hyperlink ref="J1010" r:id="rId1007" xr:uid="{A40FF64D-7B0A-4671-9BA9-6CA3A93721CB}"/>
    <hyperlink ref="J1011" r:id="rId1008" xr:uid="{5A3F1375-EC8C-47ED-A2BF-93F9498C2AEE}"/>
    <hyperlink ref="J1012" r:id="rId1009" xr:uid="{AB2DE29D-A5A1-4FBB-8847-CA616C1E279C}"/>
    <hyperlink ref="J1013" r:id="rId1010" xr:uid="{6B770661-2732-472B-B914-AE532705F869}"/>
    <hyperlink ref="J1014" r:id="rId1011" xr:uid="{F9088551-976B-4EFE-A875-75B55A38E08C}"/>
    <hyperlink ref="J1015" r:id="rId1012" xr:uid="{D6A1A8E0-C423-4952-A86D-35E64E5992EB}"/>
    <hyperlink ref="J1016" r:id="rId1013" xr:uid="{F221E712-2391-4AE6-9929-81A8A970165E}"/>
    <hyperlink ref="J1017" r:id="rId1014" xr:uid="{600B0360-8425-4B69-92B5-5EC055AC4345}"/>
    <hyperlink ref="J1018" r:id="rId1015" xr:uid="{EF516639-19E2-4448-9C97-6822D7C83F6B}"/>
    <hyperlink ref="J1019" r:id="rId1016" xr:uid="{CDF3B074-BFA6-4680-8EEE-07B8B8A0FBBE}"/>
    <hyperlink ref="J1020" r:id="rId1017" xr:uid="{89DA1211-0DBC-4217-8691-FE76399F8EE9}"/>
    <hyperlink ref="J1021" r:id="rId1018" xr:uid="{B6964C61-8CF2-4B18-850D-20869B87083B}"/>
    <hyperlink ref="J1022" r:id="rId1019" xr:uid="{A7DC2831-933C-4FAB-B453-9D084EAD8138}"/>
    <hyperlink ref="J1023" r:id="rId1020" xr:uid="{6B5B9409-7398-44CA-A239-4EDD02D57264}"/>
    <hyperlink ref="J1024" r:id="rId1021" xr:uid="{59428BFC-AB98-41C5-A1E3-F7E22A927D34}"/>
    <hyperlink ref="J1025" r:id="rId1022" xr:uid="{AF5290CC-2DA3-48E1-9467-4050D87D1BCA}"/>
    <hyperlink ref="J1026" r:id="rId1023" xr:uid="{CDEE8D13-D96A-4420-9471-217343CE9042}"/>
    <hyperlink ref="J1027" r:id="rId1024" xr:uid="{10D8A518-CF27-47CF-9924-299D0E90B32C}"/>
    <hyperlink ref="J1028" r:id="rId1025" xr:uid="{453C9E01-E4C9-4A13-AAD8-20B1C0363F34}"/>
    <hyperlink ref="J1029" r:id="rId1026" xr:uid="{A6E452C2-A956-4511-A71F-5BBE5C9E51D6}"/>
    <hyperlink ref="J1030" r:id="rId1027" xr:uid="{4DD80C63-678A-4FD0-9A32-4246B4C0EF37}"/>
    <hyperlink ref="J1031" r:id="rId1028" xr:uid="{A0305724-F3D1-4AA2-89A5-E48E769D9E37}"/>
    <hyperlink ref="J1032" r:id="rId1029" xr:uid="{9E372DF4-7E1F-4CCF-9B96-42E2491A6ACE}"/>
    <hyperlink ref="J1033" r:id="rId1030" xr:uid="{28FFE982-B7C5-4861-8340-4EC2431EBB51}"/>
    <hyperlink ref="J1034" r:id="rId1031" xr:uid="{8CBDDF93-4401-4A8D-9198-E25E86577044}"/>
    <hyperlink ref="J1035" r:id="rId1032" xr:uid="{0812F760-8CCC-4E01-94CE-C6A9A74F9E63}"/>
    <hyperlink ref="J1036" r:id="rId1033" xr:uid="{B72DCF59-991C-4689-B1CB-6791203C05CC}"/>
    <hyperlink ref="J1037" r:id="rId1034" xr:uid="{835E22C9-1658-4684-94E6-34AE97198A94}"/>
    <hyperlink ref="J1038" r:id="rId1035" xr:uid="{99E9F3BB-47BF-4BD7-B1EA-74DC0B11D449}"/>
    <hyperlink ref="J1039" r:id="rId1036" xr:uid="{C0E6F6E1-E3DE-4F1C-8172-BF40EB71D10F}"/>
    <hyperlink ref="J1040" r:id="rId1037" xr:uid="{551E3AAE-B7DE-401B-B207-0D4DA6F60ADF}"/>
    <hyperlink ref="J1041" r:id="rId1038" xr:uid="{ACF91095-14BB-43D1-B824-60BE5A4F8BE0}"/>
    <hyperlink ref="J1042" r:id="rId1039" xr:uid="{503E042C-58CB-47B5-8A78-358219ADBC6B}"/>
    <hyperlink ref="J1043" r:id="rId1040" xr:uid="{A7BE5DA4-EB0D-4EB9-8A39-9368C08AB805}"/>
    <hyperlink ref="J1044" r:id="rId1041" xr:uid="{BA9D2A15-36E4-4D19-B65A-81CEFD94AAC9}"/>
    <hyperlink ref="J1045" r:id="rId1042" xr:uid="{372FD3E2-B792-4D1B-958C-1E35FCCDB905}"/>
    <hyperlink ref="J1046" r:id="rId1043" xr:uid="{E031829F-B8FB-4FA1-8D60-F60AA7A7CE3E}"/>
    <hyperlink ref="J1047" r:id="rId1044" xr:uid="{D85DF508-4C57-44E6-95B4-608D8650EE6D}"/>
    <hyperlink ref="J1048" r:id="rId1045" xr:uid="{E9A3B8CB-5494-4161-B092-AF6D67FF8DDA}"/>
    <hyperlink ref="J1049" r:id="rId1046" xr:uid="{55EFF253-4526-419D-8D12-F6B96BA4602D}"/>
    <hyperlink ref="J1050" r:id="rId1047" xr:uid="{F84351B7-F825-4970-8B5E-363975F85581}"/>
    <hyperlink ref="J1051" r:id="rId1048" xr:uid="{B9947FE4-809A-42A3-ADAA-AC5EE7D0CA5E}"/>
    <hyperlink ref="J1052" r:id="rId1049" xr:uid="{48BCD1E7-E658-4282-AB45-F407430D5818}"/>
    <hyperlink ref="J1053" r:id="rId1050" xr:uid="{D9620421-D9BA-4843-9462-39D7244D626D}"/>
    <hyperlink ref="J1054" r:id="rId1051" xr:uid="{5AFD272A-6A5C-4689-8F44-CE595B8B5A17}"/>
    <hyperlink ref="J1055" r:id="rId1052" xr:uid="{8AEDB76D-E93E-49FB-A020-7148EFB56AA5}"/>
    <hyperlink ref="J1056" r:id="rId1053" xr:uid="{5A351F21-A3E0-4494-857A-AC62C9525D7A}"/>
    <hyperlink ref="J1057" r:id="rId1054" xr:uid="{EC169FA8-B3D7-42A8-B824-CFD1ADCC8493}"/>
    <hyperlink ref="J1058" r:id="rId1055" xr:uid="{6C36D83E-8ED8-4B9F-BD9A-C5F0B46534EE}"/>
    <hyperlink ref="J1059" r:id="rId1056" xr:uid="{86CD29E7-E44C-46AA-B808-47C41DDA0C41}"/>
    <hyperlink ref="J1060" r:id="rId1057" xr:uid="{12B5F096-2B83-477B-972C-0326762522BD}"/>
    <hyperlink ref="J1061" r:id="rId1058" xr:uid="{DD7DA4FF-443F-4E21-8215-72ECB1FBAE67}"/>
    <hyperlink ref="J1062" r:id="rId1059" xr:uid="{E8DD13DB-2CCF-478E-AD6D-A78B29A18544}"/>
    <hyperlink ref="J1063" r:id="rId1060" xr:uid="{B0BEDF85-3A57-4458-8AB9-BDDC8E6ABA67}"/>
    <hyperlink ref="J1064" r:id="rId1061" xr:uid="{BCBC0F9D-5766-423E-A241-1B51CF005486}"/>
    <hyperlink ref="J1065" r:id="rId1062" xr:uid="{65F6120C-EBE7-469B-A560-D42E77356664}"/>
    <hyperlink ref="J1066" r:id="rId1063" xr:uid="{6B1588B9-2730-41D4-84B5-FE2BB76D75AE}"/>
    <hyperlink ref="J1067" r:id="rId1064" xr:uid="{EF75A4BE-62FD-47BF-9DF2-F64BBD94E2B4}"/>
    <hyperlink ref="J1068" r:id="rId1065" xr:uid="{37CFA0AF-FD40-4C36-ABC2-B6B27A93D4BE}"/>
    <hyperlink ref="J1069" r:id="rId1066" xr:uid="{D7FD9B34-A304-4DEA-8ED8-AB3D2F50F084}"/>
    <hyperlink ref="J1070" r:id="rId1067" xr:uid="{5ECEC3A5-6169-4A1D-ADE0-3C93CDA6B25D}"/>
    <hyperlink ref="J1071" r:id="rId1068" xr:uid="{650BC03C-992B-446D-88A9-49E4223491E3}"/>
    <hyperlink ref="J1072" r:id="rId1069" xr:uid="{03BB6D4C-40EF-41EB-9B73-441D5865DC82}"/>
    <hyperlink ref="J1073" r:id="rId1070" xr:uid="{FC05E884-1D8C-4DB6-BE20-7D87184878CF}"/>
    <hyperlink ref="J1074" r:id="rId1071" xr:uid="{3C746F63-C1CA-415F-8DF7-41514E732916}"/>
    <hyperlink ref="J1075" r:id="rId1072" xr:uid="{CFFFA711-1C18-4D97-8CA8-19FE7D7B1B18}"/>
    <hyperlink ref="J1076" r:id="rId1073" xr:uid="{20C4CD12-82DD-4B6C-B416-15518104B355}"/>
    <hyperlink ref="J1077" r:id="rId1074" xr:uid="{0155249F-C964-4D7F-8946-BDB2DF2E3014}"/>
    <hyperlink ref="J1078" r:id="rId1075" xr:uid="{1832AF3F-5EE7-4365-B9CA-C188F8C685EF}"/>
    <hyperlink ref="J1079" r:id="rId1076" xr:uid="{E2CA46C2-AC45-48F9-AC7A-417C39333229}"/>
    <hyperlink ref="J1080" r:id="rId1077" xr:uid="{1853FF50-653D-4E5A-8F3B-F1E7270146E9}"/>
    <hyperlink ref="J1081" r:id="rId1078" xr:uid="{5D269FF8-CDAF-490B-984D-00E8A6DAD2BD}"/>
    <hyperlink ref="J1082" r:id="rId1079" xr:uid="{168CA19C-1492-4057-A6DC-E6EC53771D06}"/>
    <hyperlink ref="J1083" r:id="rId1080" xr:uid="{83C9A87D-6599-4117-B3A0-FD7912EC0430}"/>
    <hyperlink ref="J1084" r:id="rId1081" xr:uid="{F8A06F2F-11BD-4047-8BB8-F02895C42F17}"/>
    <hyperlink ref="J1085" r:id="rId1082" xr:uid="{C4AA046E-CD9A-4EB6-8814-7C1627F92D55}"/>
    <hyperlink ref="J1086" r:id="rId1083" xr:uid="{01B0FABC-AA3F-4BA0-B98D-F85F3D2D2455}"/>
    <hyperlink ref="J1087" r:id="rId1084" xr:uid="{5E96AA0B-947D-4115-9CA8-48B96CB0373E}"/>
    <hyperlink ref="J1088" r:id="rId1085" xr:uid="{C51897E1-DCD4-4765-9264-9E93AD456DDE}"/>
    <hyperlink ref="J1089" r:id="rId1086" xr:uid="{CE1B05CC-B59A-4892-99E6-53AB1CCAE0B2}"/>
    <hyperlink ref="J1090" r:id="rId1087" xr:uid="{8C33D137-643D-4475-B1AA-808B18C24C21}"/>
    <hyperlink ref="J1091" r:id="rId1088" xr:uid="{3A06D70C-3CA5-44A3-8F0E-3A3AC20C472D}"/>
    <hyperlink ref="J1092" r:id="rId1089" xr:uid="{9D977C47-CB59-4B3E-BBCB-5BF5D33A458D}"/>
    <hyperlink ref="J1093" r:id="rId1090" xr:uid="{C441D2A1-C5B6-495D-94FE-C551A5633E10}"/>
    <hyperlink ref="J1094" r:id="rId1091" xr:uid="{0DA623E4-F6E9-4CDD-8316-F88501434F8A}"/>
    <hyperlink ref="J1095" r:id="rId1092" xr:uid="{55FD0266-CD42-4A97-AF32-EA39FB24A3F4}"/>
    <hyperlink ref="J1096" r:id="rId1093" xr:uid="{F4848136-FED0-47E4-840A-1D03BFF246DF}"/>
    <hyperlink ref="J1097" r:id="rId1094" xr:uid="{B40A93C5-9546-498D-A011-4CFBC1951B1A}"/>
    <hyperlink ref="J1098" r:id="rId1095" xr:uid="{66BD100C-D125-49DB-A49B-340BD1ECD585}"/>
    <hyperlink ref="J1099" r:id="rId1096" xr:uid="{6BF0CA5C-CDF8-45F9-9FE7-688307CCA0D5}"/>
    <hyperlink ref="J1100" r:id="rId1097" xr:uid="{10F51F22-C378-4785-99A2-67E0065C9633}"/>
    <hyperlink ref="J1101" r:id="rId1098" xr:uid="{C710EDFC-F25F-4FA7-ACFD-14AC1153DB93}"/>
    <hyperlink ref="J1102" r:id="rId1099" xr:uid="{000A0E24-BB11-4E24-88F3-4A20711258DC}"/>
    <hyperlink ref="J1103" r:id="rId1100" xr:uid="{17EFC2D6-2ADD-41F3-9FC8-1249B38436EF}"/>
    <hyperlink ref="J1104" r:id="rId1101" xr:uid="{A493861A-6328-456E-9CCC-D71C2E9381B3}"/>
    <hyperlink ref="J1105" r:id="rId1102" xr:uid="{0C9FAEF9-1417-45A1-86A4-C6F6CE022C9D}"/>
    <hyperlink ref="J1106" r:id="rId1103" xr:uid="{52EA9E04-2B2F-4F63-ABB3-B0DC2362BC5E}"/>
    <hyperlink ref="J1107" r:id="rId1104" xr:uid="{AD911481-CD6E-4BE0-B93A-8FA6BD675F4F}"/>
    <hyperlink ref="J1108" r:id="rId1105" xr:uid="{E17F4431-1CB0-4B56-BD60-480733729189}"/>
    <hyperlink ref="J1109" r:id="rId1106" xr:uid="{3D9A70DF-754C-4A8F-905E-EBDEF80722A1}"/>
    <hyperlink ref="J1110" r:id="rId1107" xr:uid="{A639EA62-EA10-4332-B7DC-021718C00E90}"/>
    <hyperlink ref="J1111" r:id="rId1108" xr:uid="{383BA9EE-66EC-4D4D-BC22-67D91B567A01}"/>
    <hyperlink ref="J1112" r:id="rId1109" xr:uid="{9EFE016E-88B8-4166-B8B6-3FFB6F23E398}"/>
    <hyperlink ref="J1113" r:id="rId1110" xr:uid="{E8CAC03E-A727-4D36-95E8-58511B13E6E0}"/>
    <hyperlink ref="J1114" r:id="rId1111" xr:uid="{E2CA204A-7F8A-4D83-B76B-7DE1684B2303}"/>
    <hyperlink ref="J1115" r:id="rId1112" xr:uid="{3A3DAE66-1601-4296-A269-7C0A83AC3E18}"/>
    <hyperlink ref="J1116" r:id="rId1113" xr:uid="{B1498F21-A178-48AE-B701-90C01EB92A5B}"/>
    <hyperlink ref="J1117" r:id="rId1114" xr:uid="{35D5CBE2-5ADA-4598-A02C-EC360D4EBAF0}"/>
    <hyperlink ref="J1118" r:id="rId1115" xr:uid="{63BC8A52-B0A1-4DE3-B4D9-E63FD4ED935B}"/>
    <hyperlink ref="J1119" r:id="rId1116" xr:uid="{50F097EB-600B-4463-B270-1153599F58FC}"/>
    <hyperlink ref="J1120" r:id="rId1117" xr:uid="{E4A94A8D-6821-4231-9219-EA21A0850883}"/>
    <hyperlink ref="J1121" r:id="rId1118" xr:uid="{FCB7D0E3-C668-4545-A41F-F99AF060913E}"/>
    <hyperlink ref="J1122" r:id="rId1119" xr:uid="{44E554CD-1F1A-4089-9D71-FEF8A7162131}"/>
    <hyperlink ref="J1123" r:id="rId1120" xr:uid="{94163C89-A19E-489C-A659-37FB9CE70B1D}"/>
    <hyperlink ref="J1124" r:id="rId1121" xr:uid="{BDA2E829-4D8B-4B52-8FB0-EE784CA62B46}"/>
    <hyperlink ref="J1125" r:id="rId1122" xr:uid="{7A1E672D-F332-4475-9F27-8ADC66FF384C}"/>
    <hyperlink ref="J1126" r:id="rId1123" xr:uid="{8A5267E0-2C08-4929-A444-F3DE029416DA}"/>
    <hyperlink ref="J1127" r:id="rId1124" xr:uid="{5EB2D2C2-30A5-487D-ABEB-47364AB38261}"/>
    <hyperlink ref="J1128" r:id="rId1125" xr:uid="{D849325B-BEFD-48EF-8E46-3564368F3A9F}"/>
    <hyperlink ref="J1129" r:id="rId1126" xr:uid="{F4B22B28-AF53-4CD7-916B-2BEF909D33BA}"/>
    <hyperlink ref="J1130" r:id="rId1127" xr:uid="{A0CBA142-2C4E-4A67-A2F3-9BCA38BE4007}"/>
    <hyperlink ref="J1131" r:id="rId1128" xr:uid="{E623E3A9-3C36-4106-AA3B-BA5141FC46C3}"/>
    <hyperlink ref="J1132" r:id="rId1129" xr:uid="{7E3F0D4D-3170-41F1-8EE5-AC90783C6360}"/>
    <hyperlink ref="J1133" r:id="rId1130" xr:uid="{5060CB31-024B-4B3D-B407-E8AA75F973BC}"/>
    <hyperlink ref="J1134" r:id="rId1131" xr:uid="{173C5534-0D97-4988-87E5-E269EC5849CD}"/>
    <hyperlink ref="J1135" r:id="rId1132" xr:uid="{092F9C71-1A86-4B7C-AF89-FCA4C7D3EBB5}"/>
    <hyperlink ref="J1136" r:id="rId1133" xr:uid="{FD4978F1-6AA0-4929-B169-79A745498ED7}"/>
    <hyperlink ref="J1137" r:id="rId1134" xr:uid="{3886E2FF-0DDC-4690-9B35-B872BDF31382}"/>
    <hyperlink ref="J1138" r:id="rId1135" xr:uid="{D97F3299-C504-4E41-8353-5EAA7D3E34FE}"/>
  </hyperlinks>
  <pageMargins left="0.7" right="0.7" top="0.75" bottom="0.75" header="0.3" footer="0.3"/>
  <pageSetup paperSize="9" orientation="portrait" r:id="rId1136"/>
  <drawing r:id="rId113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343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533</v>
      </c>
      <c r="E1" s="216"/>
      <c r="L1" s="215" t="s">
        <v>3811</v>
      </c>
    </row>
    <row r="2" spans="1:13" s="209" customFormat="1" ht="36.950000000000003" customHeight="1" x14ac:dyDescent="0.2">
      <c r="A2" s="265" t="s">
        <v>777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3" x14ac:dyDescent="0.25">
      <c r="A3" s="29" t="s">
        <v>776</v>
      </c>
      <c r="B3" s="176"/>
      <c r="C3" s="176"/>
      <c r="D3" s="254" t="s">
        <v>166</v>
      </c>
      <c r="E3" s="254"/>
      <c r="F3" s="254"/>
      <c r="G3" s="254"/>
      <c r="H3" s="254"/>
      <c r="I3" s="254" t="s">
        <v>534</v>
      </c>
      <c r="J3" s="254"/>
      <c r="K3" s="254"/>
      <c r="L3" s="254"/>
      <c r="M3" s="244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522</v>
      </c>
      <c r="J5" s="161" t="s">
        <v>523</v>
      </c>
      <c r="K5" s="161" t="s">
        <v>90</v>
      </c>
      <c r="L5" s="161" t="s">
        <v>92</v>
      </c>
    </row>
    <row r="6" spans="1:13" s="211" customFormat="1" x14ac:dyDescent="0.25">
      <c r="A6" s="211" t="s">
        <v>117</v>
      </c>
      <c r="B6" s="211">
        <v>306</v>
      </c>
      <c r="C6" s="211" t="s">
        <v>188</v>
      </c>
      <c r="D6" s="211">
        <v>190980393</v>
      </c>
      <c r="E6" s="218">
        <v>1010</v>
      </c>
      <c r="G6" s="211">
        <v>1004</v>
      </c>
      <c r="H6" s="218" t="s">
        <v>525</v>
      </c>
      <c r="I6" s="211" t="s">
        <v>747</v>
      </c>
      <c r="J6" s="212" t="s">
        <v>638</v>
      </c>
      <c r="K6" s="211" t="s">
        <v>748</v>
      </c>
      <c r="L6" s="211" t="s">
        <v>779</v>
      </c>
    </row>
    <row r="7" spans="1:13" s="211" customFormat="1" x14ac:dyDescent="0.25">
      <c r="A7" s="211" t="s">
        <v>117</v>
      </c>
      <c r="B7" s="211">
        <v>306</v>
      </c>
      <c r="C7" s="211" t="s">
        <v>188</v>
      </c>
      <c r="D7" s="211">
        <v>191466410</v>
      </c>
      <c r="E7" s="218">
        <v>1010</v>
      </c>
      <c r="G7" s="211">
        <v>1004</v>
      </c>
      <c r="H7" s="218" t="s">
        <v>525</v>
      </c>
      <c r="I7" s="211" t="s">
        <v>749</v>
      </c>
      <c r="J7" s="212" t="s">
        <v>638</v>
      </c>
      <c r="K7" s="211" t="s">
        <v>748</v>
      </c>
      <c r="L7" s="211" t="s">
        <v>780</v>
      </c>
    </row>
    <row r="8" spans="1:13" s="211" customFormat="1" x14ac:dyDescent="0.25">
      <c r="A8" s="211" t="s">
        <v>117</v>
      </c>
      <c r="B8" s="211">
        <v>306</v>
      </c>
      <c r="C8" s="211" t="s">
        <v>188</v>
      </c>
      <c r="D8" s="211">
        <v>192037831</v>
      </c>
      <c r="E8" s="218">
        <v>1060</v>
      </c>
      <c r="F8" s="211">
        <v>1242</v>
      </c>
      <c r="G8" s="211">
        <v>1004</v>
      </c>
      <c r="H8" s="218" t="s">
        <v>778</v>
      </c>
      <c r="I8" s="211" t="s">
        <v>2720</v>
      </c>
      <c r="J8" s="212" t="s">
        <v>638</v>
      </c>
      <c r="K8" s="211" t="s">
        <v>527</v>
      </c>
      <c r="L8" s="211" t="s">
        <v>2743</v>
      </c>
    </row>
    <row r="9" spans="1:13" s="211" customFormat="1" x14ac:dyDescent="0.25">
      <c r="A9" s="211" t="s">
        <v>117</v>
      </c>
      <c r="B9" s="211">
        <v>310</v>
      </c>
      <c r="C9" s="211" t="s">
        <v>191</v>
      </c>
      <c r="D9" s="211">
        <v>191855522</v>
      </c>
      <c r="E9" s="218">
        <v>1060</v>
      </c>
      <c r="F9" s="211">
        <v>1242</v>
      </c>
      <c r="G9" s="211">
        <v>1004</v>
      </c>
      <c r="H9" s="218" t="s">
        <v>778</v>
      </c>
      <c r="I9" s="211" t="s">
        <v>2760</v>
      </c>
      <c r="J9" s="212" t="s">
        <v>638</v>
      </c>
      <c r="K9" s="211" t="s">
        <v>527</v>
      </c>
      <c r="L9" s="211" t="s">
        <v>797</v>
      </c>
    </row>
    <row r="10" spans="1:13" s="211" customFormat="1" x14ac:dyDescent="0.25">
      <c r="A10" s="211" t="s">
        <v>117</v>
      </c>
      <c r="B10" s="211">
        <v>310</v>
      </c>
      <c r="C10" s="211" t="s">
        <v>191</v>
      </c>
      <c r="D10" s="211">
        <v>192044021</v>
      </c>
      <c r="E10" s="218">
        <v>1080</v>
      </c>
      <c r="F10" s="211">
        <v>1242</v>
      </c>
      <c r="G10" s="211">
        <v>1004</v>
      </c>
      <c r="H10" s="218" t="s">
        <v>525</v>
      </c>
      <c r="I10" s="211" t="s">
        <v>3304</v>
      </c>
      <c r="J10" s="212" t="s">
        <v>638</v>
      </c>
      <c r="K10" s="211" t="s">
        <v>527</v>
      </c>
      <c r="L10" s="211" t="s">
        <v>798</v>
      </c>
    </row>
    <row r="11" spans="1:13" s="211" customFormat="1" x14ac:dyDescent="0.25">
      <c r="A11" s="211" t="s">
        <v>117</v>
      </c>
      <c r="B11" s="211">
        <v>311</v>
      </c>
      <c r="C11" s="211" t="s">
        <v>192</v>
      </c>
      <c r="D11" s="211">
        <v>192036731</v>
      </c>
      <c r="E11" s="218">
        <v>1060</v>
      </c>
      <c r="F11" s="211">
        <v>1242</v>
      </c>
      <c r="G11" s="211">
        <v>1004</v>
      </c>
      <c r="H11" s="218" t="s">
        <v>778</v>
      </c>
      <c r="I11" s="211" t="s">
        <v>3056</v>
      </c>
      <c r="J11" s="212" t="s">
        <v>638</v>
      </c>
      <c r="K11" s="211" t="s">
        <v>527</v>
      </c>
      <c r="L11" s="211" t="s">
        <v>797</v>
      </c>
    </row>
    <row r="12" spans="1:13" s="211" customFormat="1" x14ac:dyDescent="0.25">
      <c r="A12" s="211" t="s">
        <v>117</v>
      </c>
      <c r="B12" s="211">
        <v>311</v>
      </c>
      <c r="C12" s="211" t="s">
        <v>192</v>
      </c>
      <c r="D12" s="211">
        <v>504026643</v>
      </c>
      <c r="E12" s="218">
        <v>1060</v>
      </c>
      <c r="F12" s="211">
        <v>1242</v>
      </c>
      <c r="G12" s="211">
        <v>1004</v>
      </c>
      <c r="H12" s="218" t="s">
        <v>778</v>
      </c>
      <c r="I12" s="211" t="s">
        <v>3057</v>
      </c>
      <c r="J12" s="212" t="s">
        <v>638</v>
      </c>
      <c r="K12" s="211" t="s">
        <v>527</v>
      </c>
      <c r="L12" s="211" t="s">
        <v>797</v>
      </c>
    </row>
    <row r="13" spans="1:13" s="211" customFormat="1" x14ac:dyDescent="0.25">
      <c r="A13" s="211" t="s">
        <v>117</v>
      </c>
      <c r="B13" s="211">
        <v>329</v>
      </c>
      <c r="C13" s="211" t="s">
        <v>200</v>
      </c>
      <c r="D13" s="211">
        <v>192036149</v>
      </c>
      <c r="E13" s="218">
        <v>1080</v>
      </c>
      <c r="F13" s="211">
        <v>1252</v>
      </c>
      <c r="G13" s="211">
        <v>1004</v>
      </c>
      <c r="H13" s="218" t="s">
        <v>525</v>
      </c>
      <c r="I13" s="211" t="s">
        <v>2761</v>
      </c>
      <c r="J13" s="212" t="s">
        <v>638</v>
      </c>
      <c r="K13" s="211" t="s">
        <v>527</v>
      </c>
      <c r="L13" s="211" t="s">
        <v>798</v>
      </c>
    </row>
    <row r="14" spans="1:13" s="211" customFormat="1" x14ac:dyDescent="0.25">
      <c r="A14" s="211" t="s">
        <v>117</v>
      </c>
      <c r="B14" s="211">
        <v>329</v>
      </c>
      <c r="C14" s="211" t="s">
        <v>200</v>
      </c>
      <c r="D14" s="211">
        <v>192036186</v>
      </c>
      <c r="E14" s="218">
        <v>1080</v>
      </c>
      <c r="F14" s="211">
        <v>1274</v>
      </c>
      <c r="G14" s="211">
        <v>1004</v>
      </c>
      <c r="H14" s="218" t="s">
        <v>525</v>
      </c>
      <c r="I14" s="211" t="s">
        <v>2605</v>
      </c>
      <c r="J14" s="212" t="s">
        <v>638</v>
      </c>
      <c r="K14" s="211" t="s">
        <v>527</v>
      </c>
      <c r="L14" s="211" t="s">
        <v>798</v>
      </c>
    </row>
    <row r="15" spans="1:13" s="211" customFormat="1" x14ac:dyDescent="0.25">
      <c r="A15" s="211" t="s">
        <v>117</v>
      </c>
      <c r="B15" s="211">
        <v>332</v>
      </c>
      <c r="C15" s="211" t="s">
        <v>202</v>
      </c>
      <c r="D15" s="211">
        <v>191498911</v>
      </c>
      <c r="E15" s="218">
        <v>1060</v>
      </c>
      <c r="F15" s="211">
        <v>1252</v>
      </c>
      <c r="G15" s="211">
        <v>1004</v>
      </c>
      <c r="H15" s="218" t="s">
        <v>778</v>
      </c>
      <c r="I15" s="211" t="s">
        <v>3058</v>
      </c>
      <c r="J15" s="212" t="s">
        <v>638</v>
      </c>
      <c r="K15" s="211" t="s">
        <v>527</v>
      </c>
      <c r="L15" s="211" t="s">
        <v>797</v>
      </c>
    </row>
    <row r="16" spans="1:13" s="211" customFormat="1" x14ac:dyDescent="0.25">
      <c r="A16" s="211" t="s">
        <v>117</v>
      </c>
      <c r="B16" s="211">
        <v>332</v>
      </c>
      <c r="C16" s="211" t="s">
        <v>202</v>
      </c>
      <c r="D16" s="211">
        <v>504067969</v>
      </c>
      <c r="E16" s="218">
        <v>1040</v>
      </c>
      <c r="F16" s="211">
        <v>1130</v>
      </c>
      <c r="G16" s="211">
        <v>1004</v>
      </c>
      <c r="H16" s="218" t="s">
        <v>778</v>
      </c>
      <c r="I16" s="211" t="s">
        <v>750</v>
      </c>
      <c r="J16" s="212" t="s">
        <v>638</v>
      </c>
      <c r="K16" s="211" t="s">
        <v>527</v>
      </c>
      <c r="L16" s="211" t="s">
        <v>796</v>
      </c>
    </row>
    <row r="17" spans="1:12" s="211" customFormat="1" x14ac:dyDescent="0.25">
      <c r="A17" s="211" t="s">
        <v>117</v>
      </c>
      <c r="B17" s="211">
        <v>342</v>
      </c>
      <c r="C17" s="211" t="s">
        <v>211</v>
      </c>
      <c r="D17" s="211">
        <v>191636597</v>
      </c>
      <c r="E17" s="218">
        <v>1060</v>
      </c>
      <c r="F17" s="211">
        <v>1261</v>
      </c>
      <c r="G17" s="211">
        <v>1004</v>
      </c>
      <c r="H17" s="218" t="s">
        <v>778</v>
      </c>
      <c r="I17" s="211" t="s">
        <v>2073</v>
      </c>
      <c r="J17" s="212" t="s">
        <v>638</v>
      </c>
      <c r="K17" s="211" t="s">
        <v>527</v>
      </c>
      <c r="L17" s="211" t="s">
        <v>797</v>
      </c>
    </row>
    <row r="18" spans="1:12" s="211" customFormat="1" x14ac:dyDescent="0.25">
      <c r="A18" s="211" t="s">
        <v>117</v>
      </c>
      <c r="B18" s="211">
        <v>342</v>
      </c>
      <c r="C18" s="211" t="s">
        <v>211</v>
      </c>
      <c r="D18" s="211">
        <v>191723948</v>
      </c>
      <c r="E18" s="218">
        <v>1060</v>
      </c>
      <c r="F18" s="211">
        <v>1242</v>
      </c>
      <c r="G18" s="211">
        <v>1003</v>
      </c>
      <c r="H18" s="218" t="s">
        <v>778</v>
      </c>
      <c r="I18" s="211" t="s">
        <v>2654</v>
      </c>
      <c r="J18" s="212" t="s">
        <v>638</v>
      </c>
      <c r="K18" s="211" t="s">
        <v>527</v>
      </c>
      <c r="L18" s="211" t="s">
        <v>797</v>
      </c>
    </row>
    <row r="19" spans="1:12" s="211" customFormat="1" x14ac:dyDescent="0.25">
      <c r="A19" s="211" t="s">
        <v>117</v>
      </c>
      <c r="B19" s="211">
        <v>344</v>
      </c>
      <c r="C19" s="211" t="s">
        <v>212</v>
      </c>
      <c r="D19" s="211">
        <v>1267404</v>
      </c>
      <c r="E19" s="218">
        <v>1020</v>
      </c>
      <c r="F19" s="211">
        <v>1121</v>
      </c>
      <c r="G19" s="211">
        <v>1007</v>
      </c>
      <c r="H19" s="218" t="s">
        <v>778</v>
      </c>
      <c r="I19" s="211" t="s">
        <v>751</v>
      </c>
      <c r="J19" s="212" t="s">
        <v>638</v>
      </c>
      <c r="K19" s="211" t="s">
        <v>527</v>
      </c>
      <c r="L19" s="211" t="s">
        <v>1653</v>
      </c>
    </row>
    <row r="20" spans="1:12" s="211" customFormat="1" x14ac:dyDescent="0.25">
      <c r="A20" s="211" t="s">
        <v>117</v>
      </c>
      <c r="B20" s="211">
        <v>345</v>
      </c>
      <c r="C20" s="211" t="s">
        <v>213</v>
      </c>
      <c r="D20" s="211">
        <v>191835720</v>
      </c>
      <c r="E20" s="218">
        <v>1060</v>
      </c>
      <c r="F20" s="211">
        <v>1263</v>
      </c>
      <c r="G20" s="211">
        <v>1004</v>
      </c>
      <c r="H20" s="218" t="s">
        <v>778</v>
      </c>
      <c r="I20" s="211" t="s">
        <v>752</v>
      </c>
      <c r="J20" s="212" t="s">
        <v>638</v>
      </c>
      <c r="K20" s="211" t="s">
        <v>527</v>
      </c>
      <c r="L20" s="211" t="s">
        <v>797</v>
      </c>
    </row>
    <row r="21" spans="1:12" s="211" customFormat="1" x14ac:dyDescent="0.25">
      <c r="A21" s="211" t="s">
        <v>117</v>
      </c>
      <c r="B21" s="211">
        <v>345</v>
      </c>
      <c r="C21" s="211" t="s">
        <v>213</v>
      </c>
      <c r="D21" s="211">
        <v>192030050</v>
      </c>
      <c r="E21" s="218">
        <v>1060</v>
      </c>
      <c r="F21" s="211">
        <v>1242</v>
      </c>
      <c r="G21" s="211">
        <v>1004</v>
      </c>
      <c r="H21" s="218" t="s">
        <v>778</v>
      </c>
      <c r="I21" s="211" t="s">
        <v>2521</v>
      </c>
      <c r="J21" s="212" t="s">
        <v>638</v>
      </c>
      <c r="K21" s="211" t="s">
        <v>527</v>
      </c>
      <c r="L21" s="211" t="s">
        <v>797</v>
      </c>
    </row>
    <row r="22" spans="1:12" s="211" customFormat="1" x14ac:dyDescent="0.25">
      <c r="A22" s="211" t="s">
        <v>117</v>
      </c>
      <c r="B22" s="211">
        <v>345</v>
      </c>
      <c r="C22" s="211" t="s">
        <v>213</v>
      </c>
      <c r="D22" s="211">
        <v>504060920</v>
      </c>
      <c r="E22" s="218">
        <v>1080</v>
      </c>
      <c r="F22" s="211">
        <v>1274</v>
      </c>
      <c r="G22" s="211">
        <v>1004</v>
      </c>
      <c r="H22" s="218" t="s">
        <v>525</v>
      </c>
      <c r="I22" s="211" t="s">
        <v>2683</v>
      </c>
      <c r="J22" s="212" t="s">
        <v>638</v>
      </c>
      <c r="K22" s="211" t="s">
        <v>527</v>
      </c>
      <c r="L22" s="211" t="s">
        <v>798</v>
      </c>
    </row>
    <row r="23" spans="1:12" s="211" customFormat="1" x14ac:dyDescent="0.25">
      <c r="A23" s="211" t="s">
        <v>117</v>
      </c>
      <c r="B23" s="211">
        <v>351</v>
      </c>
      <c r="C23" s="211" t="s">
        <v>116</v>
      </c>
      <c r="D23" s="211">
        <v>2245419</v>
      </c>
      <c r="E23" s="218">
        <v>1060</v>
      </c>
      <c r="F23" s="211">
        <v>1251</v>
      </c>
      <c r="G23" s="211">
        <v>1004</v>
      </c>
      <c r="H23" s="218" t="s">
        <v>778</v>
      </c>
      <c r="I23" s="211" t="s">
        <v>963</v>
      </c>
      <c r="J23" s="212" t="s">
        <v>638</v>
      </c>
      <c r="K23" s="211" t="s">
        <v>527</v>
      </c>
      <c r="L23" s="211" t="s">
        <v>797</v>
      </c>
    </row>
    <row r="24" spans="1:12" s="211" customFormat="1" x14ac:dyDescent="0.25">
      <c r="A24" s="211" t="s">
        <v>117</v>
      </c>
      <c r="B24" s="211">
        <v>351</v>
      </c>
      <c r="C24" s="211" t="s">
        <v>116</v>
      </c>
      <c r="D24" s="211">
        <v>2245589</v>
      </c>
      <c r="E24" s="218">
        <v>1060</v>
      </c>
      <c r="F24" s="211">
        <v>1230</v>
      </c>
      <c r="G24" s="211">
        <v>1004</v>
      </c>
      <c r="H24" s="218" t="s">
        <v>778</v>
      </c>
      <c r="I24" s="211" t="s">
        <v>753</v>
      </c>
      <c r="J24" s="212" t="s">
        <v>638</v>
      </c>
      <c r="K24" s="211" t="s">
        <v>527</v>
      </c>
      <c r="L24" s="211" t="s">
        <v>797</v>
      </c>
    </row>
    <row r="25" spans="1:12" s="211" customFormat="1" x14ac:dyDescent="0.25">
      <c r="A25" s="211" t="s">
        <v>117</v>
      </c>
      <c r="B25" s="211">
        <v>351</v>
      </c>
      <c r="C25" s="211" t="s">
        <v>116</v>
      </c>
      <c r="D25" s="211">
        <v>190902249</v>
      </c>
      <c r="E25" s="218">
        <v>1040</v>
      </c>
      <c r="G25" s="211">
        <v>1004</v>
      </c>
      <c r="H25" s="218" t="s">
        <v>778</v>
      </c>
      <c r="I25" s="211" t="s">
        <v>754</v>
      </c>
      <c r="J25" s="212" t="s">
        <v>638</v>
      </c>
      <c r="K25" s="211" t="s">
        <v>527</v>
      </c>
      <c r="L25" s="211" t="s">
        <v>796</v>
      </c>
    </row>
    <row r="26" spans="1:12" s="211" customFormat="1" x14ac:dyDescent="0.25">
      <c r="A26" s="211" t="s">
        <v>117</v>
      </c>
      <c r="B26" s="211">
        <v>351</v>
      </c>
      <c r="C26" s="211" t="s">
        <v>116</v>
      </c>
      <c r="D26" s="211">
        <v>191682592</v>
      </c>
      <c r="E26" s="218">
        <v>1060</v>
      </c>
      <c r="F26" s="211">
        <v>1264</v>
      </c>
      <c r="G26" s="211">
        <v>1004</v>
      </c>
      <c r="H26" s="218" t="s">
        <v>778</v>
      </c>
      <c r="I26" s="211" t="s">
        <v>2242</v>
      </c>
      <c r="J26" s="212" t="s">
        <v>638</v>
      </c>
      <c r="K26" s="211" t="s">
        <v>527</v>
      </c>
      <c r="L26" s="211" t="s">
        <v>797</v>
      </c>
    </row>
    <row r="27" spans="1:12" s="211" customFormat="1" x14ac:dyDescent="0.25">
      <c r="A27" s="211" t="s">
        <v>117</v>
      </c>
      <c r="B27" s="211">
        <v>351</v>
      </c>
      <c r="C27" s="211" t="s">
        <v>116</v>
      </c>
      <c r="D27" s="211">
        <v>191690476</v>
      </c>
      <c r="E27" s="218">
        <v>1060</v>
      </c>
      <c r="F27" s="211">
        <v>1271</v>
      </c>
      <c r="G27" s="211">
        <v>1003</v>
      </c>
      <c r="H27" s="218" t="s">
        <v>778</v>
      </c>
      <c r="I27" s="211" t="s">
        <v>2999</v>
      </c>
      <c r="J27" s="212" t="s">
        <v>638</v>
      </c>
      <c r="K27" s="211" t="s">
        <v>527</v>
      </c>
      <c r="L27" s="211" t="s">
        <v>797</v>
      </c>
    </row>
    <row r="28" spans="1:12" s="211" customFormat="1" x14ac:dyDescent="0.25">
      <c r="A28" s="211" t="s">
        <v>117</v>
      </c>
      <c r="B28" s="211">
        <v>351</v>
      </c>
      <c r="C28" s="211" t="s">
        <v>116</v>
      </c>
      <c r="D28" s="211">
        <v>191897867</v>
      </c>
      <c r="E28" s="218">
        <v>1060</v>
      </c>
      <c r="F28" s="211">
        <v>1252</v>
      </c>
      <c r="G28" s="211">
        <v>1004</v>
      </c>
      <c r="H28" s="218" t="s">
        <v>778</v>
      </c>
      <c r="I28" s="211" t="s">
        <v>3384</v>
      </c>
      <c r="J28" s="212" t="s">
        <v>638</v>
      </c>
      <c r="K28" s="211" t="s">
        <v>527</v>
      </c>
      <c r="L28" s="211" t="s">
        <v>797</v>
      </c>
    </row>
    <row r="29" spans="1:12" s="211" customFormat="1" x14ac:dyDescent="0.25">
      <c r="A29" s="211" t="s">
        <v>117</v>
      </c>
      <c r="B29" s="211">
        <v>351</v>
      </c>
      <c r="C29" s="211" t="s">
        <v>116</v>
      </c>
      <c r="D29" s="211">
        <v>192025984</v>
      </c>
      <c r="E29" s="218">
        <v>1060</v>
      </c>
      <c r="F29" s="211">
        <v>1264</v>
      </c>
      <c r="G29" s="211">
        <v>1004</v>
      </c>
      <c r="H29" s="218" t="s">
        <v>778</v>
      </c>
      <c r="I29" s="211" t="s">
        <v>2481</v>
      </c>
      <c r="J29" s="212" t="s">
        <v>638</v>
      </c>
      <c r="K29" s="211" t="s">
        <v>527</v>
      </c>
      <c r="L29" s="211" t="s">
        <v>797</v>
      </c>
    </row>
    <row r="30" spans="1:12" s="211" customFormat="1" x14ac:dyDescent="0.25">
      <c r="A30" s="211" t="s">
        <v>117</v>
      </c>
      <c r="B30" s="211">
        <v>351</v>
      </c>
      <c r="C30" s="211" t="s">
        <v>116</v>
      </c>
      <c r="D30" s="211">
        <v>192025998</v>
      </c>
      <c r="E30" s="218">
        <v>1060</v>
      </c>
      <c r="F30" s="211">
        <v>1264</v>
      </c>
      <c r="G30" s="211">
        <v>1004</v>
      </c>
      <c r="H30" s="218" t="s">
        <v>778</v>
      </c>
      <c r="I30" s="211" t="s">
        <v>2381</v>
      </c>
      <c r="J30" s="212" t="s">
        <v>638</v>
      </c>
      <c r="K30" s="211" t="s">
        <v>527</v>
      </c>
      <c r="L30" s="211" t="s">
        <v>797</v>
      </c>
    </row>
    <row r="31" spans="1:12" s="211" customFormat="1" x14ac:dyDescent="0.25">
      <c r="A31" s="211" t="s">
        <v>117</v>
      </c>
      <c r="B31" s="211">
        <v>351</v>
      </c>
      <c r="C31" s="211" t="s">
        <v>116</v>
      </c>
      <c r="D31" s="211">
        <v>192026009</v>
      </c>
      <c r="E31" s="218">
        <v>1060</v>
      </c>
      <c r="F31" s="211">
        <v>1264</v>
      </c>
      <c r="G31" s="211">
        <v>1004</v>
      </c>
      <c r="H31" s="218" t="s">
        <v>778</v>
      </c>
      <c r="I31" s="211" t="s">
        <v>2721</v>
      </c>
      <c r="J31" s="212" t="s">
        <v>638</v>
      </c>
      <c r="K31" s="211" t="s">
        <v>527</v>
      </c>
      <c r="L31" s="211" t="s">
        <v>797</v>
      </c>
    </row>
    <row r="32" spans="1:12" s="211" customFormat="1" x14ac:dyDescent="0.25">
      <c r="A32" s="211" t="s">
        <v>117</v>
      </c>
      <c r="B32" s="211">
        <v>351</v>
      </c>
      <c r="C32" s="211" t="s">
        <v>116</v>
      </c>
      <c r="D32" s="211">
        <v>192041927</v>
      </c>
      <c r="E32" s="218">
        <v>1060</v>
      </c>
      <c r="F32" s="211">
        <v>1274</v>
      </c>
      <c r="G32" s="211">
        <v>1004</v>
      </c>
      <c r="H32" s="218" t="s">
        <v>778</v>
      </c>
      <c r="I32" s="211" t="s">
        <v>2859</v>
      </c>
      <c r="J32" s="212" t="s">
        <v>638</v>
      </c>
      <c r="K32" s="211" t="s">
        <v>527</v>
      </c>
      <c r="L32" s="211" t="s">
        <v>797</v>
      </c>
    </row>
    <row r="33" spans="1:12" s="211" customFormat="1" x14ac:dyDescent="0.25">
      <c r="A33" s="211" t="s">
        <v>117</v>
      </c>
      <c r="B33" s="211">
        <v>351</v>
      </c>
      <c r="C33" s="211" t="s">
        <v>116</v>
      </c>
      <c r="D33" s="211">
        <v>192041931</v>
      </c>
      <c r="E33" s="218">
        <v>1060</v>
      </c>
      <c r="F33" s="211">
        <v>1274</v>
      </c>
      <c r="G33" s="211">
        <v>1004</v>
      </c>
      <c r="H33" s="218" t="s">
        <v>778</v>
      </c>
      <c r="I33" s="211" t="s">
        <v>3059</v>
      </c>
      <c r="J33" s="212" t="s">
        <v>638</v>
      </c>
      <c r="K33" s="211" t="s">
        <v>527</v>
      </c>
      <c r="L33" s="211" t="s">
        <v>797</v>
      </c>
    </row>
    <row r="34" spans="1:12" s="211" customFormat="1" x14ac:dyDescent="0.25">
      <c r="A34" s="211" t="s">
        <v>117</v>
      </c>
      <c r="B34" s="211">
        <v>351</v>
      </c>
      <c r="C34" s="211" t="s">
        <v>116</v>
      </c>
      <c r="D34" s="211">
        <v>504008589</v>
      </c>
      <c r="E34" s="218">
        <v>1040</v>
      </c>
      <c r="F34" s="211">
        <v>1130</v>
      </c>
      <c r="G34" s="211">
        <v>1004</v>
      </c>
      <c r="H34" s="218" t="s">
        <v>778</v>
      </c>
      <c r="I34" s="211" t="s">
        <v>1305</v>
      </c>
      <c r="J34" s="212" t="s">
        <v>638</v>
      </c>
      <c r="K34" s="211" t="s">
        <v>527</v>
      </c>
      <c r="L34" s="211" t="s">
        <v>796</v>
      </c>
    </row>
    <row r="35" spans="1:12" s="211" customFormat="1" x14ac:dyDescent="0.25">
      <c r="A35" s="211" t="s">
        <v>117</v>
      </c>
      <c r="B35" s="211">
        <v>351</v>
      </c>
      <c r="C35" s="211" t="s">
        <v>116</v>
      </c>
      <c r="D35" s="211">
        <v>504008827</v>
      </c>
      <c r="E35" s="218">
        <v>1040</v>
      </c>
      <c r="F35" s="211">
        <v>1130</v>
      </c>
      <c r="G35" s="211">
        <v>1004</v>
      </c>
      <c r="H35" s="218" t="s">
        <v>778</v>
      </c>
      <c r="I35" s="211" t="s">
        <v>1702</v>
      </c>
      <c r="J35" s="212" t="s">
        <v>638</v>
      </c>
      <c r="K35" s="211" t="s">
        <v>527</v>
      </c>
      <c r="L35" s="211" t="s">
        <v>796</v>
      </c>
    </row>
    <row r="36" spans="1:12" s="211" customFormat="1" x14ac:dyDescent="0.25">
      <c r="A36" s="211" t="s">
        <v>117</v>
      </c>
      <c r="B36" s="211">
        <v>351</v>
      </c>
      <c r="C36" s="211" t="s">
        <v>116</v>
      </c>
      <c r="D36" s="211">
        <v>504008853</v>
      </c>
      <c r="E36" s="218">
        <v>1040</v>
      </c>
      <c r="F36" s="211">
        <v>1130</v>
      </c>
      <c r="G36" s="211">
        <v>1004</v>
      </c>
      <c r="H36" s="218" t="s">
        <v>778</v>
      </c>
      <c r="I36" s="211" t="s">
        <v>1306</v>
      </c>
      <c r="J36" s="212" t="s">
        <v>638</v>
      </c>
      <c r="K36" s="211" t="s">
        <v>527</v>
      </c>
      <c r="L36" s="211" t="s">
        <v>796</v>
      </c>
    </row>
    <row r="37" spans="1:12" s="211" customFormat="1" x14ac:dyDescent="0.25">
      <c r="A37" s="211" t="s">
        <v>117</v>
      </c>
      <c r="B37" s="211">
        <v>351</v>
      </c>
      <c r="C37" s="211" t="s">
        <v>116</v>
      </c>
      <c r="D37" s="211">
        <v>504008882</v>
      </c>
      <c r="E37" s="218">
        <v>1040</v>
      </c>
      <c r="F37" s="211">
        <v>1130</v>
      </c>
      <c r="G37" s="211">
        <v>1004</v>
      </c>
      <c r="H37" s="218" t="s">
        <v>778</v>
      </c>
      <c r="I37" s="211" t="s">
        <v>1307</v>
      </c>
      <c r="J37" s="212" t="s">
        <v>638</v>
      </c>
      <c r="K37" s="211" t="s">
        <v>527</v>
      </c>
      <c r="L37" s="211" t="s">
        <v>796</v>
      </c>
    </row>
    <row r="38" spans="1:12" s="211" customFormat="1" x14ac:dyDescent="0.25">
      <c r="A38" s="211" t="s">
        <v>117</v>
      </c>
      <c r="B38" s="211">
        <v>351</v>
      </c>
      <c r="C38" s="211" t="s">
        <v>116</v>
      </c>
      <c r="D38" s="211">
        <v>504008945</v>
      </c>
      <c r="E38" s="218">
        <v>1040</v>
      </c>
      <c r="F38" s="211">
        <v>1130</v>
      </c>
      <c r="G38" s="211">
        <v>1004</v>
      </c>
      <c r="H38" s="218" t="s">
        <v>778</v>
      </c>
      <c r="I38" s="211" t="s">
        <v>1308</v>
      </c>
      <c r="J38" s="212" t="s">
        <v>638</v>
      </c>
      <c r="K38" s="211" t="s">
        <v>527</v>
      </c>
      <c r="L38" s="211" t="s">
        <v>796</v>
      </c>
    </row>
    <row r="39" spans="1:12" s="211" customFormat="1" x14ac:dyDescent="0.25">
      <c r="A39" s="211" t="s">
        <v>117</v>
      </c>
      <c r="B39" s="211">
        <v>351</v>
      </c>
      <c r="C39" s="211" t="s">
        <v>116</v>
      </c>
      <c r="D39" s="211">
        <v>504008964</v>
      </c>
      <c r="E39" s="218">
        <v>1040</v>
      </c>
      <c r="F39" s="211">
        <v>1130</v>
      </c>
      <c r="G39" s="211">
        <v>1004</v>
      </c>
      <c r="H39" s="218" t="s">
        <v>778</v>
      </c>
      <c r="I39" s="211" t="s">
        <v>1309</v>
      </c>
      <c r="J39" s="212" t="s">
        <v>638</v>
      </c>
      <c r="K39" s="211" t="s">
        <v>527</v>
      </c>
      <c r="L39" s="211" t="s">
        <v>796</v>
      </c>
    </row>
    <row r="40" spans="1:12" s="211" customFormat="1" x14ac:dyDescent="0.25">
      <c r="A40" s="211" t="s">
        <v>117</v>
      </c>
      <c r="B40" s="211">
        <v>351</v>
      </c>
      <c r="C40" s="211" t="s">
        <v>116</v>
      </c>
      <c r="D40" s="211">
        <v>504008994</v>
      </c>
      <c r="E40" s="218">
        <v>1040</v>
      </c>
      <c r="F40" s="211">
        <v>1130</v>
      </c>
      <c r="G40" s="211">
        <v>1004</v>
      </c>
      <c r="H40" s="218" t="s">
        <v>778</v>
      </c>
      <c r="I40" s="211" t="s">
        <v>1310</v>
      </c>
      <c r="J40" s="212" t="s">
        <v>638</v>
      </c>
      <c r="K40" s="211" t="s">
        <v>527</v>
      </c>
      <c r="L40" s="211" t="s">
        <v>796</v>
      </c>
    </row>
    <row r="41" spans="1:12" s="211" customFormat="1" x14ac:dyDescent="0.25">
      <c r="A41" s="211" t="s">
        <v>117</v>
      </c>
      <c r="B41" s="211">
        <v>351</v>
      </c>
      <c r="C41" s="211" t="s">
        <v>116</v>
      </c>
      <c r="D41" s="211">
        <v>504009081</v>
      </c>
      <c r="E41" s="218">
        <v>1040</v>
      </c>
      <c r="F41" s="211">
        <v>1130</v>
      </c>
      <c r="G41" s="211">
        <v>1004</v>
      </c>
      <c r="H41" s="218" t="s">
        <v>778</v>
      </c>
      <c r="I41" s="211" t="s">
        <v>1311</v>
      </c>
      <c r="J41" s="212" t="s">
        <v>638</v>
      </c>
      <c r="K41" s="211" t="s">
        <v>527</v>
      </c>
      <c r="L41" s="211" t="s">
        <v>796</v>
      </c>
    </row>
    <row r="42" spans="1:12" s="211" customFormat="1" x14ac:dyDescent="0.25">
      <c r="A42" s="211" t="s">
        <v>117</v>
      </c>
      <c r="B42" s="211">
        <v>351</v>
      </c>
      <c r="C42" s="211" t="s">
        <v>116</v>
      </c>
      <c r="D42" s="211">
        <v>504009234</v>
      </c>
      <c r="E42" s="218">
        <v>1040</v>
      </c>
      <c r="F42" s="211">
        <v>1130</v>
      </c>
      <c r="G42" s="211">
        <v>1004</v>
      </c>
      <c r="H42" s="218" t="s">
        <v>778</v>
      </c>
      <c r="I42" s="211" t="s">
        <v>1312</v>
      </c>
      <c r="J42" s="212" t="s">
        <v>638</v>
      </c>
      <c r="K42" s="211" t="s">
        <v>527</v>
      </c>
      <c r="L42" s="211" t="s">
        <v>796</v>
      </c>
    </row>
    <row r="43" spans="1:12" s="211" customFormat="1" x14ac:dyDescent="0.25">
      <c r="A43" s="211" t="s">
        <v>117</v>
      </c>
      <c r="B43" s="211">
        <v>351</v>
      </c>
      <c r="C43" s="211" t="s">
        <v>116</v>
      </c>
      <c r="D43" s="211">
        <v>504009259</v>
      </c>
      <c r="E43" s="218">
        <v>1060</v>
      </c>
      <c r="F43" s="211">
        <v>1264</v>
      </c>
      <c r="G43" s="211">
        <v>1004</v>
      </c>
      <c r="H43" s="218" t="s">
        <v>778</v>
      </c>
      <c r="I43" s="211" t="s">
        <v>2243</v>
      </c>
      <c r="J43" s="212" t="s">
        <v>638</v>
      </c>
      <c r="K43" s="211" t="s">
        <v>527</v>
      </c>
      <c r="L43" s="211" t="s">
        <v>797</v>
      </c>
    </row>
    <row r="44" spans="1:12" s="211" customFormat="1" x14ac:dyDescent="0.25">
      <c r="A44" s="211" t="s">
        <v>117</v>
      </c>
      <c r="B44" s="211">
        <v>351</v>
      </c>
      <c r="C44" s="211" t="s">
        <v>116</v>
      </c>
      <c r="D44" s="211">
        <v>504009278</v>
      </c>
      <c r="E44" s="218">
        <v>1060</v>
      </c>
      <c r="F44" s="211">
        <v>1264</v>
      </c>
      <c r="G44" s="211">
        <v>1004</v>
      </c>
      <c r="H44" s="218" t="s">
        <v>778</v>
      </c>
      <c r="I44" s="211" t="s">
        <v>2244</v>
      </c>
      <c r="J44" s="212" t="s">
        <v>638</v>
      </c>
      <c r="K44" s="211" t="s">
        <v>527</v>
      </c>
      <c r="L44" s="211" t="s">
        <v>797</v>
      </c>
    </row>
    <row r="45" spans="1:12" s="211" customFormat="1" x14ac:dyDescent="0.25">
      <c r="A45" s="211" t="s">
        <v>117</v>
      </c>
      <c r="B45" s="211">
        <v>351</v>
      </c>
      <c r="C45" s="211" t="s">
        <v>116</v>
      </c>
      <c r="D45" s="211">
        <v>504009279</v>
      </c>
      <c r="E45" s="218">
        <v>1060</v>
      </c>
      <c r="F45" s="211">
        <v>1264</v>
      </c>
      <c r="G45" s="211">
        <v>1004</v>
      </c>
      <c r="H45" s="218" t="s">
        <v>778</v>
      </c>
      <c r="I45" s="211" t="s">
        <v>2245</v>
      </c>
      <c r="J45" s="212" t="s">
        <v>638</v>
      </c>
      <c r="K45" s="211" t="s">
        <v>527</v>
      </c>
      <c r="L45" s="211" t="s">
        <v>797</v>
      </c>
    </row>
    <row r="46" spans="1:12" s="211" customFormat="1" x14ac:dyDescent="0.25">
      <c r="A46" s="211" t="s">
        <v>117</v>
      </c>
      <c r="B46" s="211">
        <v>351</v>
      </c>
      <c r="C46" s="211" t="s">
        <v>116</v>
      </c>
      <c r="D46" s="211">
        <v>504009280</v>
      </c>
      <c r="E46" s="218">
        <v>1060</v>
      </c>
      <c r="F46" s="211">
        <v>1264</v>
      </c>
      <c r="G46" s="211">
        <v>1004</v>
      </c>
      <c r="H46" s="218" t="s">
        <v>778</v>
      </c>
      <c r="I46" s="211" t="s">
        <v>2246</v>
      </c>
      <c r="J46" s="212" t="s">
        <v>638</v>
      </c>
      <c r="K46" s="211" t="s">
        <v>527</v>
      </c>
      <c r="L46" s="211" t="s">
        <v>797</v>
      </c>
    </row>
    <row r="47" spans="1:12" s="211" customFormat="1" x14ac:dyDescent="0.25">
      <c r="A47" s="211" t="s">
        <v>117</v>
      </c>
      <c r="B47" s="211">
        <v>351</v>
      </c>
      <c r="C47" s="211" t="s">
        <v>116</v>
      </c>
      <c r="D47" s="211">
        <v>504009283</v>
      </c>
      <c r="E47" s="218">
        <v>1060</v>
      </c>
      <c r="F47" s="211">
        <v>1264</v>
      </c>
      <c r="G47" s="211">
        <v>1004</v>
      </c>
      <c r="H47" s="218" t="s">
        <v>778</v>
      </c>
      <c r="I47" s="211" t="s">
        <v>2247</v>
      </c>
      <c r="J47" s="212" t="s">
        <v>638</v>
      </c>
      <c r="K47" s="211" t="s">
        <v>527</v>
      </c>
      <c r="L47" s="211" t="s">
        <v>797</v>
      </c>
    </row>
    <row r="48" spans="1:12" s="211" customFormat="1" x14ac:dyDescent="0.25">
      <c r="A48" s="211" t="s">
        <v>117</v>
      </c>
      <c r="B48" s="211">
        <v>351</v>
      </c>
      <c r="C48" s="211" t="s">
        <v>116</v>
      </c>
      <c r="D48" s="211">
        <v>504009288</v>
      </c>
      <c r="E48" s="218">
        <v>1060</v>
      </c>
      <c r="F48" s="211">
        <v>1264</v>
      </c>
      <c r="G48" s="211">
        <v>1004</v>
      </c>
      <c r="H48" s="218" t="s">
        <v>778</v>
      </c>
      <c r="I48" s="211" t="s">
        <v>3672</v>
      </c>
      <c r="J48" s="212" t="s">
        <v>638</v>
      </c>
      <c r="K48" s="211" t="s">
        <v>527</v>
      </c>
      <c r="L48" s="211" t="s">
        <v>797</v>
      </c>
    </row>
    <row r="49" spans="1:12" s="211" customFormat="1" x14ac:dyDescent="0.25">
      <c r="A49" s="211" t="s">
        <v>117</v>
      </c>
      <c r="B49" s="211">
        <v>351</v>
      </c>
      <c r="C49" s="211" t="s">
        <v>116</v>
      </c>
      <c r="D49" s="211">
        <v>504009289</v>
      </c>
      <c r="E49" s="218">
        <v>1060</v>
      </c>
      <c r="F49" s="211">
        <v>1264</v>
      </c>
      <c r="G49" s="211">
        <v>1004</v>
      </c>
      <c r="H49" s="218" t="s">
        <v>778</v>
      </c>
      <c r="I49" s="211" t="s">
        <v>2248</v>
      </c>
      <c r="J49" s="212" t="s">
        <v>638</v>
      </c>
      <c r="K49" s="211" t="s">
        <v>527</v>
      </c>
      <c r="L49" s="211" t="s">
        <v>797</v>
      </c>
    </row>
    <row r="50" spans="1:12" s="211" customFormat="1" x14ac:dyDescent="0.25">
      <c r="A50" s="211" t="s">
        <v>117</v>
      </c>
      <c r="B50" s="211">
        <v>351</v>
      </c>
      <c r="C50" s="211" t="s">
        <v>116</v>
      </c>
      <c r="D50" s="211">
        <v>504009396</v>
      </c>
      <c r="E50" s="218">
        <v>1040</v>
      </c>
      <c r="F50" s="211">
        <v>1130</v>
      </c>
      <c r="G50" s="211">
        <v>1004</v>
      </c>
      <c r="H50" s="218" t="s">
        <v>778</v>
      </c>
      <c r="I50" s="211" t="s">
        <v>1313</v>
      </c>
      <c r="J50" s="212" t="s">
        <v>638</v>
      </c>
      <c r="K50" s="211" t="s">
        <v>527</v>
      </c>
      <c r="L50" s="211" t="s">
        <v>796</v>
      </c>
    </row>
    <row r="51" spans="1:12" s="211" customFormat="1" x14ac:dyDescent="0.25">
      <c r="A51" s="211" t="s">
        <v>117</v>
      </c>
      <c r="B51" s="211">
        <v>351</v>
      </c>
      <c r="C51" s="211" t="s">
        <v>116</v>
      </c>
      <c r="D51" s="211">
        <v>504009473</v>
      </c>
      <c r="E51" s="218">
        <v>1040</v>
      </c>
      <c r="F51" s="211">
        <v>1130</v>
      </c>
      <c r="G51" s="211">
        <v>1004</v>
      </c>
      <c r="H51" s="218" t="s">
        <v>778</v>
      </c>
      <c r="I51" s="211" t="s">
        <v>1314</v>
      </c>
      <c r="J51" s="212" t="s">
        <v>638</v>
      </c>
      <c r="K51" s="211" t="s">
        <v>527</v>
      </c>
      <c r="L51" s="211" t="s">
        <v>796</v>
      </c>
    </row>
    <row r="52" spans="1:12" s="211" customFormat="1" x14ac:dyDescent="0.25">
      <c r="A52" s="211" t="s">
        <v>117</v>
      </c>
      <c r="B52" s="211">
        <v>351</v>
      </c>
      <c r="C52" s="211" t="s">
        <v>116</v>
      </c>
      <c r="D52" s="211">
        <v>504009809</v>
      </c>
      <c r="E52" s="218">
        <v>1080</v>
      </c>
      <c r="F52" s="211">
        <v>1242</v>
      </c>
      <c r="G52" s="211">
        <v>1004</v>
      </c>
      <c r="H52" s="218" t="s">
        <v>525</v>
      </c>
      <c r="I52" s="211" t="s">
        <v>3000</v>
      </c>
      <c r="J52" s="212" t="s">
        <v>638</v>
      </c>
      <c r="K52" s="211" t="s">
        <v>527</v>
      </c>
      <c r="L52" s="211" t="s">
        <v>798</v>
      </c>
    </row>
    <row r="53" spans="1:12" s="211" customFormat="1" x14ac:dyDescent="0.25">
      <c r="A53" s="211" t="s">
        <v>117</v>
      </c>
      <c r="B53" s="211">
        <v>351</v>
      </c>
      <c r="C53" s="211" t="s">
        <v>116</v>
      </c>
      <c r="D53" s="211">
        <v>504009901</v>
      </c>
      <c r="E53" s="218">
        <v>1080</v>
      </c>
      <c r="F53" s="211">
        <v>1242</v>
      </c>
      <c r="G53" s="211">
        <v>1004</v>
      </c>
      <c r="H53" s="218" t="s">
        <v>525</v>
      </c>
      <c r="I53" s="211" t="s">
        <v>2762</v>
      </c>
      <c r="J53" s="212" t="s">
        <v>638</v>
      </c>
      <c r="K53" s="211" t="s">
        <v>527</v>
      </c>
      <c r="L53" s="211" t="s">
        <v>798</v>
      </c>
    </row>
    <row r="54" spans="1:12" s="211" customFormat="1" x14ac:dyDescent="0.25">
      <c r="A54" s="211" t="s">
        <v>117</v>
      </c>
      <c r="B54" s="211">
        <v>351</v>
      </c>
      <c r="C54" s="211" t="s">
        <v>116</v>
      </c>
      <c r="D54" s="211">
        <v>504010844</v>
      </c>
      <c r="E54" s="218">
        <v>1080</v>
      </c>
      <c r="F54" s="211">
        <v>1274</v>
      </c>
      <c r="G54" s="211">
        <v>1004</v>
      </c>
      <c r="H54" s="218" t="s">
        <v>525</v>
      </c>
      <c r="I54" s="211" t="s">
        <v>2957</v>
      </c>
      <c r="J54" s="212" t="s">
        <v>638</v>
      </c>
      <c r="K54" s="211" t="s">
        <v>527</v>
      </c>
      <c r="L54" s="211" t="s">
        <v>798</v>
      </c>
    </row>
    <row r="55" spans="1:12" s="211" customFormat="1" x14ac:dyDescent="0.25">
      <c r="A55" s="211" t="s">
        <v>117</v>
      </c>
      <c r="B55" s="211">
        <v>354</v>
      </c>
      <c r="C55" s="211" t="s">
        <v>216</v>
      </c>
      <c r="D55" s="211">
        <v>1271178</v>
      </c>
      <c r="E55" s="218">
        <v>1020</v>
      </c>
      <c r="F55" s="211">
        <v>1110</v>
      </c>
      <c r="G55" s="211">
        <v>1004</v>
      </c>
      <c r="H55" s="218" t="s">
        <v>778</v>
      </c>
      <c r="I55" s="211" t="s">
        <v>755</v>
      </c>
      <c r="J55" s="212" t="s">
        <v>638</v>
      </c>
      <c r="K55" s="211" t="s">
        <v>527</v>
      </c>
      <c r="L55" s="211" t="s">
        <v>799</v>
      </c>
    </row>
    <row r="56" spans="1:12" s="211" customFormat="1" x14ac:dyDescent="0.25">
      <c r="A56" s="211" t="s">
        <v>117</v>
      </c>
      <c r="B56" s="211">
        <v>354</v>
      </c>
      <c r="C56" s="211" t="s">
        <v>216</v>
      </c>
      <c r="D56" s="211">
        <v>1271188</v>
      </c>
      <c r="E56" s="218">
        <v>1020</v>
      </c>
      <c r="F56" s="211">
        <v>1110</v>
      </c>
      <c r="G56" s="211">
        <v>1004</v>
      </c>
      <c r="H56" s="218" t="s">
        <v>778</v>
      </c>
      <c r="I56" s="211" t="s">
        <v>756</v>
      </c>
      <c r="J56" s="212" t="s">
        <v>638</v>
      </c>
      <c r="K56" s="211" t="s">
        <v>527</v>
      </c>
      <c r="L56" s="211" t="s">
        <v>799</v>
      </c>
    </row>
    <row r="57" spans="1:12" s="211" customFormat="1" x14ac:dyDescent="0.25">
      <c r="A57" s="211" t="s">
        <v>117</v>
      </c>
      <c r="B57" s="211">
        <v>354</v>
      </c>
      <c r="C57" s="211" t="s">
        <v>216</v>
      </c>
      <c r="D57" s="211">
        <v>191137379</v>
      </c>
      <c r="E57" s="218">
        <v>1020</v>
      </c>
      <c r="F57" s="211">
        <v>1110</v>
      </c>
      <c r="G57" s="211">
        <v>1004</v>
      </c>
      <c r="H57" s="218" t="s">
        <v>778</v>
      </c>
      <c r="I57" s="211" t="s">
        <v>757</v>
      </c>
      <c r="J57" s="212" t="s">
        <v>638</v>
      </c>
      <c r="K57" s="211" t="s">
        <v>527</v>
      </c>
      <c r="L57" s="211" t="s">
        <v>799</v>
      </c>
    </row>
    <row r="58" spans="1:12" s="211" customFormat="1" x14ac:dyDescent="0.25">
      <c r="A58" s="211" t="s">
        <v>117</v>
      </c>
      <c r="B58" s="211">
        <v>354</v>
      </c>
      <c r="C58" s="211" t="s">
        <v>216</v>
      </c>
      <c r="D58" s="211">
        <v>191979985</v>
      </c>
      <c r="E58" s="218">
        <v>1080</v>
      </c>
      <c r="F58" s="211">
        <v>1271</v>
      </c>
      <c r="G58" s="211">
        <v>1004</v>
      </c>
      <c r="H58" s="218" t="s">
        <v>525</v>
      </c>
      <c r="I58" s="211" t="s">
        <v>3305</v>
      </c>
      <c r="J58" s="212" t="s">
        <v>638</v>
      </c>
      <c r="K58" s="211" t="s">
        <v>527</v>
      </c>
      <c r="L58" s="211" t="s">
        <v>798</v>
      </c>
    </row>
    <row r="59" spans="1:12" s="211" customFormat="1" x14ac:dyDescent="0.25">
      <c r="A59" s="211" t="s">
        <v>117</v>
      </c>
      <c r="B59" s="211">
        <v>354</v>
      </c>
      <c r="C59" s="211" t="s">
        <v>216</v>
      </c>
      <c r="D59" s="211">
        <v>502075101</v>
      </c>
      <c r="E59" s="218">
        <v>1020</v>
      </c>
      <c r="F59" s="211">
        <v>1110</v>
      </c>
      <c r="G59" s="211">
        <v>1004</v>
      </c>
      <c r="H59" s="218" t="s">
        <v>778</v>
      </c>
      <c r="I59" s="211" t="s">
        <v>758</v>
      </c>
      <c r="J59" s="212" t="s">
        <v>638</v>
      </c>
      <c r="K59" s="211" t="s">
        <v>527</v>
      </c>
      <c r="L59" s="211" t="s">
        <v>799</v>
      </c>
    </row>
    <row r="60" spans="1:12" s="211" customFormat="1" x14ac:dyDescent="0.25">
      <c r="A60" s="211" t="s">
        <v>117</v>
      </c>
      <c r="B60" s="211">
        <v>354</v>
      </c>
      <c r="C60" s="211" t="s">
        <v>216</v>
      </c>
      <c r="D60" s="211">
        <v>502075393</v>
      </c>
      <c r="E60" s="218">
        <v>1060</v>
      </c>
      <c r="F60" s="211">
        <v>1242</v>
      </c>
      <c r="G60" s="211">
        <v>1004</v>
      </c>
      <c r="H60" s="218" t="s">
        <v>778</v>
      </c>
      <c r="I60" s="211" t="s">
        <v>3306</v>
      </c>
      <c r="J60" s="212" t="s">
        <v>638</v>
      </c>
      <c r="K60" s="211" t="s">
        <v>527</v>
      </c>
      <c r="L60" s="211" t="s">
        <v>797</v>
      </c>
    </row>
    <row r="61" spans="1:12" s="211" customFormat="1" x14ac:dyDescent="0.25">
      <c r="A61" s="211" t="s">
        <v>117</v>
      </c>
      <c r="B61" s="211">
        <v>354</v>
      </c>
      <c r="C61" s="211" t="s">
        <v>216</v>
      </c>
      <c r="D61" s="211">
        <v>502075543</v>
      </c>
      <c r="E61" s="218">
        <v>1060</v>
      </c>
      <c r="G61" s="211">
        <v>1004</v>
      </c>
      <c r="H61" s="218" t="s">
        <v>778</v>
      </c>
      <c r="I61" s="211" t="s">
        <v>3307</v>
      </c>
      <c r="J61" s="212" t="s">
        <v>638</v>
      </c>
      <c r="K61" s="211" t="s">
        <v>527</v>
      </c>
      <c r="L61" s="211" t="s">
        <v>797</v>
      </c>
    </row>
    <row r="62" spans="1:12" s="211" customFormat="1" x14ac:dyDescent="0.25">
      <c r="A62" s="211" t="s">
        <v>117</v>
      </c>
      <c r="B62" s="211">
        <v>354</v>
      </c>
      <c r="C62" s="211" t="s">
        <v>216</v>
      </c>
      <c r="D62" s="211">
        <v>502075544</v>
      </c>
      <c r="E62" s="218">
        <v>1060</v>
      </c>
      <c r="G62" s="211">
        <v>1004</v>
      </c>
      <c r="H62" s="218" t="s">
        <v>778</v>
      </c>
      <c r="I62" s="211" t="s">
        <v>3308</v>
      </c>
      <c r="J62" s="212" t="s">
        <v>638</v>
      </c>
      <c r="K62" s="211" t="s">
        <v>527</v>
      </c>
      <c r="L62" s="211" t="s">
        <v>797</v>
      </c>
    </row>
    <row r="63" spans="1:12" s="211" customFormat="1" x14ac:dyDescent="0.25">
      <c r="A63" s="211" t="s">
        <v>117</v>
      </c>
      <c r="B63" s="211">
        <v>354</v>
      </c>
      <c r="C63" s="211" t="s">
        <v>216</v>
      </c>
      <c r="D63" s="211">
        <v>502075545</v>
      </c>
      <c r="E63" s="218">
        <v>1060</v>
      </c>
      <c r="G63" s="211">
        <v>1004</v>
      </c>
      <c r="H63" s="218" t="s">
        <v>778</v>
      </c>
      <c r="I63" s="211" t="s">
        <v>3309</v>
      </c>
      <c r="J63" s="212" t="s">
        <v>638</v>
      </c>
      <c r="K63" s="211" t="s">
        <v>527</v>
      </c>
      <c r="L63" s="211" t="s">
        <v>797</v>
      </c>
    </row>
    <row r="64" spans="1:12" s="211" customFormat="1" x14ac:dyDescent="0.25">
      <c r="A64" s="211" t="s">
        <v>117</v>
      </c>
      <c r="B64" s="211">
        <v>355</v>
      </c>
      <c r="C64" s="211" t="s">
        <v>217</v>
      </c>
      <c r="D64" s="211">
        <v>191989474</v>
      </c>
      <c r="E64" s="218">
        <v>1080</v>
      </c>
      <c r="F64" s="211">
        <v>1274</v>
      </c>
      <c r="G64" s="211">
        <v>1004</v>
      </c>
      <c r="H64" s="218" t="s">
        <v>525</v>
      </c>
      <c r="I64" s="211" t="s">
        <v>3560</v>
      </c>
      <c r="J64" s="212" t="s">
        <v>638</v>
      </c>
      <c r="K64" s="211" t="s">
        <v>527</v>
      </c>
      <c r="L64" s="211" t="s">
        <v>798</v>
      </c>
    </row>
    <row r="65" spans="1:12" s="211" customFormat="1" x14ac:dyDescent="0.25">
      <c r="A65" s="211" t="s">
        <v>117</v>
      </c>
      <c r="B65" s="211">
        <v>355</v>
      </c>
      <c r="C65" s="211" t="s">
        <v>217</v>
      </c>
      <c r="D65" s="211">
        <v>502111888</v>
      </c>
      <c r="E65" s="218">
        <v>1060</v>
      </c>
      <c r="F65" s="211">
        <v>1274</v>
      </c>
      <c r="G65" s="211">
        <v>1004</v>
      </c>
      <c r="H65" s="218" t="s">
        <v>778</v>
      </c>
      <c r="I65" s="211" t="s">
        <v>3561</v>
      </c>
      <c r="J65" s="212" t="s">
        <v>638</v>
      </c>
      <c r="K65" s="211" t="s">
        <v>527</v>
      </c>
      <c r="L65" s="211" t="s">
        <v>797</v>
      </c>
    </row>
    <row r="66" spans="1:12" s="211" customFormat="1" x14ac:dyDescent="0.25">
      <c r="A66" s="211" t="s">
        <v>117</v>
      </c>
      <c r="B66" s="211">
        <v>355</v>
      </c>
      <c r="C66" s="211" t="s">
        <v>217</v>
      </c>
      <c r="D66" s="211">
        <v>502111889</v>
      </c>
      <c r="E66" s="218">
        <v>1060</v>
      </c>
      <c r="F66" s="211">
        <v>1220</v>
      </c>
      <c r="G66" s="211">
        <v>1004</v>
      </c>
      <c r="H66" s="218" t="s">
        <v>778</v>
      </c>
      <c r="I66" s="211" t="s">
        <v>3562</v>
      </c>
      <c r="J66" s="212" t="s">
        <v>638</v>
      </c>
      <c r="K66" s="211" t="s">
        <v>527</v>
      </c>
      <c r="L66" s="211" t="s">
        <v>797</v>
      </c>
    </row>
    <row r="67" spans="1:12" s="211" customFormat="1" x14ac:dyDescent="0.25">
      <c r="A67" s="211" t="s">
        <v>117</v>
      </c>
      <c r="B67" s="211">
        <v>355</v>
      </c>
      <c r="C67" s="211" t="s">
        <v>217</v>
      </c>
      <c r="D67" s="211">
        <v>502111891</v>
      </c>
      <c r="E67" s="218">
        <v>1060</v>
      </c>
      <c r="F67" s="211">
        <v>1274</v>
      </c>
      <c r="G67" s="211">
        <v>1004</v>
      </c>
      <c r="H67" s="218" t="s">
        <v>778</v>
      </c>
      <c r="I67" s="211" t="s">
        <v>3563</v>
      </c>
      <c r="J67" s="212" t="s">
        <v>638</v>
      </c>
      <c r="K67" s="211" t="s">
        <v>527</v>
      </c>
      <c r="L67" s="211" t="s">
        <v>797</v>
      </c>
    </row>
    <row r="68" spans="1:12" s="211" customFormat="1" x14ac:dyDescent="0.25">
      <c r="A68" s="211" t="s">
        <v>117</v>
      </c>
      <c r="B68" s="211">
        <v>356</v>
      </c>
      <c r="C68" s="211" t="s">
        <v>218</v>
      </c>
      <c r="D68" s="211">
        <v>191528193</v>
      </c>
      <c r="E68" s="218">
        <v>1010</v>
      </c>
      <c r="G68" s="211">
        <v>1004</v>
      </c>
      <c r="H68" s="218" t="s">
        <v>525</v>
      </c>
      <c r="I68" s="211" t="s">
        <v>759</v>
      </c>
      <c r="J68" s="212" t="s">
        <v>638</v>
      </c>
      <c r="K68" s="211" t="s">
        <v>748</v>
      </c>
      <c r="L68" s="211" t="s">
        <v>781</v>
      </c>
    </row>
    <row r="69" spans="1:12" s="211" customFormat="1" x14ac:dyDescent="0.25">
      <c r="A69" s="211" t="s">
        <v>117</v>
      </c>
      <c r="B69" s="211">
        <v>356</v>
      </c>
      <c r="C69" s="211" t="s">
        <v>218</v>
      </c>
      <c r="D69" s="211">
        <v>191652156</v>
      </c>
      <c r="E69" s="218">
        <v>1010</v>
      </c>
      <c r="G69" s="211">
        <v>1004</v>
      </c>
      <c r="H69" s="218" t="s">
        <v>525</v>
      </c>
      <c r="I69" s="211" t="s">
        <v>2135</v>
      </c>
      <c r="J69" s="212" t="s">
        <v>638</v>
      </c>
      <c r="K69" s="211" t="s">
        <v>748</v>
      </c>
      <c r="L69" s="211" t="s">
        <v>2154</v>
      </c>
    </row>
    <row r="70" spans="1:12" s="211" customFormat="1" x14ac:dyDescent="0.25">
      <c r="A70" s="211" t="s">
        <v>117</v>
      </c>
      <c r="B70" s="211">
        <v>356</v>
      </c>
      <c r="C70" s="211" t="s">
        <v>218</v>
      </c>
      <c r="D70" s="211">
        <v>191652157</v>
      </c>
      <c r="E70" s="218">
        <v>1010</v>
      </c>
      <c r="G70" s="211">
        <v>1004</v>
      </c>
      <c r="H70" s="218" t="s">
        <v>778</v>
      </c>
      <c r="I70" s="211" t="s">
        <v>2136</v>
      </c>
      <c r="J70" s="212" t="s">
        <v>638</v>
      </c>
      <c r="K70" s="211" t="s">
        <v>748</v>
      </c>
      <c r="L70" s="211" t="s">
        <v>2155</v>
      </c>
    </row>
    <row r="71" spans="1:12" s="211" customFormat="1" x14ac:dyDescent="0.25">
      <c r="A71" s="211" t="s">
        <v>117</v>
      </c>
      <c r="B71" s="211">
        <v>356</v>
      </c>
      <c r="C71" s="211" t="s">
        <v>218</v>
      </c>
      <c r="D71" s="211">
        <v>191667542</v>
      </c>
      <c r="E71" s="218">
        <v>1010</v>
      </c>
      <c r="G71" s="211">
        <v>1004</v>
      </c>
      <c r="H71" s="218" t="s">
        <v>525</v>
      </c>
      <c r="I71" s="211" t="s">
        <v>2150</v>
      </c>
      <c r="J71" s="212" t="s">
        <v>638</v>
      </c>
      <c r="K71" s="211" t="s">
        <v>748</v>
      </c>
      <c r="L71" s="211" t="s">
        <v>2174</v>
      </c>
    </row>
    <row r="72" spans="1:12" s="211" customFormat="1" x14ac:dyDescent="0.25">
      <c r="A72" s="211" t="s">
        <v>117</v>
      </c>
      <c r="B72" s="211">
        <v>356</v>
      </c>
      <c r="C72" s="211" t="s">
        <v>218</v>
      </c>
      <c r="D72" s="211">
        <v>192001801</v>
      </c>
      <c r="E72" s="218">
        <v>1080</v>
      </c>
      <c r="F72" s="211">
        <v>1242</v>
      </c>
      <c r="G72" s="211">
        <v>1004</v>
      </c>
      <c r="H72" s="218" t="s">
        <v>525</v>
      </c>
      <c r="I72" s="211" t="s">
        <v>2805</v>
      </c>
      <c r="J72" s="212" t="s">
        <v>638</v>
      </c>
      <c r="K72" s="211" t="s">
        <v>527</v>
      </c>
      <c r="L72" s="211" t="s">
        <v>798</v>
      </c>
    </row>
    <row r="73" spans="1:12" s="211" customFormat="1" x14ac:dyDescent="0.25">
      <c r="A73" s="211" t="s">
        <v>117</v>
      </c>
      <c r="B73" s="211">
        <v>358</v>
      </c>
      <c r="C73" s="211" t="s">
        <v>220</v>
      </c>
      <c r="D73" s="211">
        <v>504044350</v>
      </c>
      <c r="E73" s="218">
        <v>1060</v>
      </c>
      <c r="F73" s="211">
        <v>1271</v>
      </c>
      <c r="G73" s="211">
        <v>1004</v>
      </c>
      <c r="H73" s="218" t="s">
        <v>778</v>
      </c>
      <c r="I73" s="211" t="s">
        <v>3310</v>
      </c>
      <c r="J73" s="212" t="s">
        <v>638</v>
      </c>
      <c r="K73" s="211" t="s">
        <v>527</v>
      </c>
      <c r="L73" s="211" t="s">
        <v>797</v>
      </c>
    </row>
    <row r="74" spans="1:12" s="211" customFormat="1" x14ac:dyDescent="0.25">
      <c r="A74" s="211" t="s">
        <v>117</v>
      </c>
      <c r="B74" s="211">
        <v>359</v>
      </c>
      <c r="C74" s="211" t="s">
        <v>221</v>
      </c>
      <c r="D74" s="211">
        <v>191852678</v>
      </c>
      <c r="E74" s="218">
        <v>1080</v>
      </c>
      <c r="F74" s="211">
        <v>1274</v>
      </c>
      <c r="G74" s="211">
        <v>1004</v>
      </c>
      <c r="H74" s="218" t="s">
        <v>525</v>
      </c>
      <c r="I74" s="211" t="s">
        <v>760</v>
      </c>
      <c r="J74" s="212" t="s">
        <v>638</v>
      </c>
      <c r="K74" s="211" t="s">
        <v>527</v>
      </c>
      <c r="L74" s="211" t="s">
        <v>798</v>
      </c>
    </row>
    <row r="75" spans="1:12" s="211" customFormat="1" x14ac:dyDescent="0.25">
      <c r="A75" s="211" t="s">
        <v>117</v>
      </c>
      <c r="B75" s="211">
        <v>359</v>
      </c>
      <c r="C75" s="211" t="s">
        <v>221</v>
      </c>
      <c r="D75" s="211">
        <v>191999662</v>
      </c>
      <c r="E75" s="218">
        <v>1060</v>
      </c>
      <c r="F75" s="211">
        <v>1242</v>
      </c>
      <c r="G75" s="211">
        <v>1004</v>
      </c>
      <c r="H75" s="218" t="s">
        <v>778</v>
      </c>
      <c r="I75" s="211" t="s">
        <v>3385</v>
      </c>
      <c r="J75" s="212" t="s">
        <v>638</v>
      </c>
      <c r="K75" s="211" t="s">
        <v>527</v>
      </c>
      <c r="L75" s="211" t="s">
        <v>797</v>
      </c>
    </row>
    <row r="76" spans="1:12" s="211" customFormat="1" x14ac:dyDescent="0.25">
      <c r="A76" s="211" t="s">
        <v>117</v>
      </c>
      <c r="B76" s="211">
        <v>359</v>
      </c>
      <c r="C76" s="211" t="s">
        <v>221</v>
      </c>
      <c r="D76" s="211">
        <v>192050520</v>
      </c>
      <c r="E76" s="218">
        <v>1060</v>
      </c>
      <c r="F76" s="211">
        <v>1271</v>
      </c>
      <c r="G76" s="211">
        <v>1004</v>
      </c>
      <c r="H76" s="218" t="s">
        <v>778</v>
      </c>
      <c r="I76" s="211" t="s">
        <v>3564</v>
      </c>
      <c r="J76" s="212" t="s">
        <v>638</v>
      </c>
      <c r="K76" s="211" t="s">
        <v>527</v>
      </c>
      <c r="L76" s="211" t="s">
        <v>3595</v>
      </c>
    </row>
    <row r="77" spans="1:12" s="211" customFormat="1" x14ac:dyDescent="0.25">
      <c r="A77" s="211" t="s">
        <v>117</v>
      </c>
      <c r="B77" s="211">
        <v>359</v>
      </c>
      <c r="C77" s="211" t="s">
        <v>221</v>
      </c>
      <c r="D77" s="211">
        <v>192050522</v>
      </c>
      <c r="E77" s="218">
        <v>1060</v>
      </c>
      <c r="F77" s="211">
        <v>1271</v>
      </c>
      <c r="G77" s="211">
        <v>1004</v>
      </c>
      <c r="H77" s="218" t="s">
        <v>778</v>
      </c>
      <c r="I77" s="211" t="s">
        <v>3564</v>
      </c>
      <c r="J77" s="212" t="s">
        <v>638</v>
      </c>
      <c r="K77" s="211" t="s">
        <v>527</v>
      </c>
      <c r="L77" s="211" t="s">
        <v>3595</v>
      </c>
    </row>
    <row r="78" spans="1:12" s="211" customFormat="1" x14ac:dyDescent="0.25">
      <c r="A78" s="211" t="s">
        <v>117</v>
      </c>
      <c r="B78" s="211">
        <v>360</v>
      </c>
      <c r="C78" s="211" t="s">
        <v>222</v>
      </c>
      <c r="D78" s="211">
        <v>3170602</v>
      </c>
      <c r="E78" s="218">
        <v>1020</v>
      </c>
      <c r="F78" s="211">
        <v>1122</v>
      </c>
      <c r="G78" s="211">
        <v>1004</v>
      </c>
      <c r="H78" s="218" t="s">
        <v>778</v>
      </c>
      <c r="I78" s="211" t="s">
        <v>794</v>
      </c>
      <c r="J78" s="212" t="s">
        <v>638</v>
      </c>
      <c r="K78" s="211" t="s">
        <v>527</v>
      </c>
      <c r="L78" s="211" t="s">
        <v>799</v>
      </c>
    </row>
    <row r="79" spans="1:12" s="211" customFormat="1" x14ac:dyDescent="0.25">
      <c r="A79" s="211" t="s">
        <v>117</v>
      </c>
      <c r="B79" s="211">
        <v>360</v>
      </c>
      <c r="C79" s="211" t="s">
        <v>222</v>
      </c>
      <c r="D79" s="211">
        <v>502091380</v>
      </c>
      <c r="E79" s="218">
        <v>1060</v>
      </c>
      <c r="F79" s="211">
        <v>1130</v>
      </c>
      <c r="G79" s="211">
        <v>1004</v>
      </c>
      <c r="H79" s="218" t="s">
        <v>778</v>
      </c>
      <c r="I79" s="211" t="s">
        <v>761</v>
      </c>
      <c r="J79" s="212" t="s">
        <v>638</v>
      </c>
      <c r="K79" s="211" t="s">
        <v>527</v>
      </c>
      <c r="L79" s="211" t="s">
        <v>797</v>
      </c>
    </row>
    <row r="80" spans="1:12" s="211" customFormat="1" x14ac:dyDescent="0.25">
      <c r="A80" s="211" t="s">
        <v>117</v>
      </c>
      <c r="B80" s="211">
        <v>360</v>
      </c>
      <c r="C80" s="211" t="s">
        <v>222</v>
      </c>
      <c r="D80" s="211">
        <v>502092149</v>
      </c>
      <c r="E80" s="218">
        <v>1060</v>
      </c>
      <c r="F80" s="211">
        <v>1242</v>
      </c>
      <c r="G80" s="211">
        <v>1004</v>
      </c>
      <c r="H80" s="218" t="s">
        <v>778</v>
      </c>
      <c r="I80" s="211" t="s">
        <v>3673</v>
      </c>
      <c r="J80" s="212" t="s">
        <v>638</v>
      </c>
      <c r="K80" s="211" t="s">
        <v>527</v>
      </c>
      <c r="L80" s="211" t="s">
        <v>797</v>
      </c>
    </row>
    <row r="81" spans="1:12" s="211" customFormat="1" x14ac:dyDescent="0.25">
      <c r="A81" s="211" t="s">
        <v>117</v>
      </c>
      <c r="B81" s="211">
        <v>360</v>
      </c>
      <c r="C81" s="211" t="s">
        <v>222</v>
      </c>
      <c r="D81" s="211">
        <v>502092384</v>
      </c>
      <c r="E81" s="218">
        <v>1060</v>
      </c>
      <c r="F81" s="211">
        <v>1251</v>
      </c>
      <c r="G81" s="211">
        <v>1004</v>
      </c>
      <c r="H81" s="218" t="s">
        <v>778</v>
      </c>
      <c r="I81" s="211" t="s">
        <v>3674</v>
      </c>
      <c r="J81" s="212" t="s">
        <v>638</v>
      </c>
      <c r="K81" s="211" t="s">
        <v>527</v>
      </c>
      <c r="L81" s="211" t="s">
        <v>797</v>
      </c>
    </row>
    <row r="82" spans="1:12" s="211" customFormat="1" x14ac:dyDescent="0.25">
      <c r="A82" s="211" t="s">
        <v>117</v>
      </c>
      <c r="B82" s="211">
        <v>361</v>
      </c>
      <c r="C82" s="211" t="s">
        <v>223</v>
      </c>
      <c r="D82" s="211">
        <v>191859366</v>
      </c>
      <c r="E82" s="218">
        <v>1080</v>
      </c>
      <c r="F82" s="211">
        <v>1274</v>
      </c>
      <c r="G82" s="211">
        <v>1003</v>
      </c>
      <c r="H82" s="218" t="s">
        <v>525</v>
      </c>
      <c r="I82" s="211" t="s">
        <v>2958</v>
      </c>
      <c r="J82" s="212" t="s">
        <v>638</v>
      </c>
      <c r="K82" s="211" t="s">
        <v>527</v>
      </c>
      <c r="L82" s="211" t="s">
        <v>798</v>
      </c>
    </row>
    <row r="83" spans="1:12" s="211" customFormat="1" x14ac:dyDescent="0.25">
      <c r="A83" s="211" t="s">
        <v>117</v>
      </c>
      <c r="B83" s="211">
        <v>361</v>
      </c>
      <c r="C83" s="211" t="s">
        <v>223</v>
      </c>
      <c r="D83" s="211">
        <v>191891223</v>
      </c>
      <c r="E83" s="218">
        <v>1060</v>
      </c>
      <c r="F83" s="211">
        <v>1274</v>
      </c>
      <c r="G83" s="211">
        <v>1004</v>
      </c>
      <c r="H83" s="218" t="s">
        <v>778</v>
      </c>
      <c r="I83" s="211" t="s">
        <v>3060</v>
      </c>
      <c r="J83" s="212" t="s">
        <v>638</v>
      </c>
      <c r="K83" s="211" t="s">
        <v>527</v>
      </c>
      <c r="L83" s="211" t="s">
        <v>797</v>
      </c>
    </row>
    <row r="84" spans="1:12" s="211" customFormat="1" x14ac:dyDescent="0.25">
      <c r="A84" s="211" t="s">
        <v>117</v>
      </c>
      <c r="B84" s="211">
        <v>362</v>
      </c>
      <c r="C84" s="211" t="s">
        <v>224</v>
      </c>
      <c r="D84" s="211">
        <v>191162470</v>
      </c>
      <c r="E84" s="218">
        <v>1060</v>
      </c>
      <c r="F84" s="211">
        <v>1230</v>
      </c>
      <c r="G84" s="211">
        <v>1004</v>
      </c>
      <c r="H84" s="218" t="s">
        <v>778</v>
      </c>
      <c r="I84" s="211" t="s">
        <v>762</v>
      </c>
      <c r="J84" s="212" t="s">
        <v>638</v>
      </c>
      <c r="K84" s="211" t="s">
        <v>527</v>
      </c>
      <c r="L84" s="211" t="s">
        <v>797</v>
      </c>
    </row>
    <row r="85" spans="1:12" s="211" customFormat="1" x14ac:dyDescent="0.25">
      <c r="A85" s="211" t="s">
        <v>117</v>
      </c>
      <c r="B85" s="211">
        <v>362</v>
      </c>
      <c r="C85" s="211" t="s">
        <v>224</v>
      </c>
      <c r="D85" s="211">
        <v>191411651</v>
      </c>
      <c r="E85" s="218">
        <v>1060</v>
      </c>
      <c r="F85" s="211">
        <v>1230</v>
      </c>
      <c r="G85" s="211">
        <v>1004</v>
      </c>
      <c r="H85" s="218" t="s">
        <v>778</v>
      </c>
      <c r="I85" s="211" t="s">
        <v>763</v>
      </c>
      <c r="J85" s="212" t="s">
        <v>638</v>
      </c>
      <c r="K85" s="211" t="s">
        <v>527</v>
      </c>
      <c r="L85" s="211" t="s">
        <v>797</v>
      </c>
    </row>
    <row r="86" spans="1:12" s="211" customFormat="1" x14ac:dyDescent="0.25">
      <c r="A86" s="211" t="s">
        <v>117</v>
      </c>
      <c r="B86" s="211">
        <v>362</v>
      </c>
      <c r="C86" s="211" t="s">
        <v>224</v>
      </c>
      <c r="D86" s="211">
        <v>192037621</v>
      </c>
      <c r="E86" s="218">
        <v>1080</v>
      </c>
      <c r="F86" s="211">
        <v>1251</v>
      </c>
      <c r="G86" s="211">
        <v>1004</v>
      </c>
      <c r="H86" s="218" t="s">
        <v>525</v>
      </c>
      <c r="I86" s="211" t="s">
        <v>3565</v>
      </c>
      <c r="J86" s="212" t="s">
        <v>638</v>
      </c>
      <c r="K86" s="211" t="s">
        <v>527</v>
      </c>
      <c r="L86" s="211" t="s">
        <v>798</v>
      </c>
    </row>
    <row r="87" spans="1:12" s="211" customFormat="1" x14ac:dyDescent="0.25">
      <c r="A87" s="211" t="s">
        <v>117</v>
      </c>
      <c r="B87" s="211">
        <v>362</v>
      </c>
      <c r="C87" s="211" t="s">
        <v>224</v>
      </c>
      <c r="D87" s="211">
        <v>504033175</v>
      </c>
      <c r="E87" s="218">
        <v>1040</v>
      </c>
      <c r="F87" s="211">
        <v>1130</v>
      </c>
      <c r="G87" s="211">
        <v>1004</v>
      </c>
      <c r="H87" s="218" t="s">
        <v>778</v>
      </c>
      <c r="I87" s="211" t="s">
        <v>764</v>
      </c>
      <c r="J87" s="212" t="s">
        <v>638</v>
      </c>
      <c r="K87" s="211" t="s">
        <v>527</v>
      </c>
      <c r="L87" s="211" t="s">
        <v>796</v>
      </c>
    </row>
    <row r="88" spans="1:12" s="211" customFormat="1" x14ac:dyDescent="0.25">
      <c r="A88" s="211" t="s">
        <v>117</v>
      </c>
      <c r="B88" s="211">
        <v>363</v>
      </c>
      <c r="C88" s="211" t="s">
        <v>225</v>
      </c>
      <c r="D88" s="211">
        <v>192013757</v>
      </c>
      <c r="E88" s="218">
        <v>1080</v>
      </c>
      <c r="F88" s="211">
        <v>1242</v>
      </c>
      <c r="G88" s="211">
        <v>1004</v>
      </c>
      <c r="H88" s="218" t="s">
        <v>525</v>
      </c>
      <c r="I88" s="211" t="s">
        <v>2623</v>
      </c>
      <c r="J88" s="212" t="s">
        <v>638</v>
      </c>
      <c r="K88" s="211" t="s">
        <v>527</v>
      </c>
      <c r="L88" s="211" t="s">
        <v>798</v>
      </c>
    </row>
    <row r="89" spans="1:12" s="211" customFormat="1" x14ac:dyDescent="0.25">
      <c r="A89" s="211" t="s">
        <v>117</v>
      </c>
      <c r="B89" s="211">
        <v>363</v>
      </c>
      <c r="C89" s="211" t="s">
        <v>225</v>
      </c>
      <c r="D89" s="211">
        <v>192025217</v>
      </c>
      <c r="E89" s="218">
        <v>1060</v>
      </c>
      <c r="F89" s="211">
        <v>1242</v>
      </c>
      <c r="G89" s="211">
        <v>1004</v>
      </c>
      <c r="H89" s="218" t="s">
        <v>778</v>
      </c>
      <c r="I89" s="211" t="s">
        <v>2655</v>
      </c>
      <c r="J89" s="212" t="s">
        <v>638</v>
      </c>
      <c r="K89" s="211" t="s">
        <v>527</v>
      </c>
      <c r="L89" s="211" t="s">
        <v>797</v>
      </c>
    </row>
    <row r="90" spans="1:12" s="211" customFormat="1" x14ac:dyDescent="0.25">
      <c r="A90" s="211" t="s">
        <v>117</v>
      </c>
      <c r="B90" s="211">
        <v>363</v>
      </c>
      <c r="C90" s="211" t="s">
        <v>225</v>
      </c>
      <c r="D90" s="211">
        <v>192043120</v>
      </c>
      <c r="E90" s="218">
        <v>1080</v>
      </c>
      <c r="F90" s="211">
        <v>1274</v>
      </c>
      <c r="G90" s="211">
        <v>1004</v>
      </c>
      <c r="H90" s="218" t="s">
        <v>525</v>
      </c>
      <c r="I90" s="211" t="s">
        <v>3061</v>
      </c>
      <c r="J90" s="212" t="s">
        <v>638</v>
      </c>
      <c r="K90" s="211" t="s">
        <v>527</v>
      </c>
      <c r="L90" s="211" t="s">
        <v>798</v>
      </c>
    </row>
    <row r="91" spans="1:12" s="211" customFormat="1" x14ac:dyDescent="0.25">
      <c r="A91" s="211" t="s">
        <v>117</v>
      </c>
      <c r="B91" s="211">
        <v>371</v>
      </c>
      <c r="C91" s="211" t="s">
        <v>226</v>
      </c>
      <c r="D91" s="211">
        <v>191900625</v>
      </c>
      <c r="E91" s="218">
        <v>1060</v>
      </c>
      <c r="F91" s="211">
        <v>1274</v>
      </c>
      <c r="G91" s="211">
        <v>1004</v>
      </c>
      <c r="H91" s="218" t="s">
        <v>778</v>
      </c>
      <c r="I91" s="211" t="s">
        <v>3062</v>
      </c>
      <c r="J91" s="212" t="s">
        <v>638</v>
      </c>
      <c r="K91" s="211" t="s">
        <v>527</v>
      </c>
      <c r="L91" s="211" t="s">
        <v>797</v>
      </c>
    </row>
    <row r="92" spans="1:12" s="211" customFormat="1" x14ac:dyDescent="0.25">
      <c r="A92" s="211" t="s">
        <v>117</v>
      </c>
      <c r="B92" s="211">
        <v>371</v>
      </c>
      <c r="C92" s="211" t="s">
        <v>226</v>
      </c>
      <c r="D92" s="211">
        <v>192023209</v>
      </c>
      <c r="E92" s="218">
        <v>1060</v>
      </c>
      <c r="F92" s="211">
        <v>1274</v>
      </c>
      <c r="G92" s="211">
        <v>1004</v>
      </c>
      <c r="H92" s="218" t="s">
        <v>778</v>
      </c>
      <c r="I92" s="211" t="s">
        <v>2165</v>
      </c>
      <c r="J92" s="212" t="s">
        <v>638</v>
      </c>
      <c r="K92" s="211" t="s">
        <v>527</v>
      </c>
      <c r="L92" s="211" t="s">
        <v>797</v>
      </c>
    </row>
    <row r="93" spans="1:12" s="211" customFormat="1" x14ac:dyDescent="0.25">
      <c r="A93" s="211" t="s">
        <v>117</v>
      </c>
      <c r="B93" s="211">
        <v>371</v>
      </c>
      <c r="C93" s="211" t="s">
        <v>226</v>
      </c>
      <c r="D93" s="211">
        <v>192023682</v>
      </c>
      <c r="E93" s="218">
        <v>1080</v>
      </c>
      <c r="F93" s="211">
        <v>1242</v>
      </c>
      <c r="G93" s="211">
        <v>1004</v>
      </c>
      <c r="H93" s="218" t="s">
        <v>525</v>
      </c>
      <c r="I93" s="211" t="s">
        <v>2806</v>
      </c>
      <c r="J93" s="212" t="s">
        <v>638</v>
      </c>
      <c r="K93" s="211" t="s">
        <v>527</v>
      </c>
      <c r="L93" s="211" t="s">
        <v>798</v>
      </c>
    </row>
    <row r="94" spans="1:12" s="211" customFormat="1" x14ac:dyDescent="0.25">
      <c r="A94" s="211" t="s">
        <v>117</v>
      </c>
      <c r="B94" s="211">
        <v>371</v>
      </c>
      <c r="C94" s="211" t="s">
        <v>226</v>
      </c>
      <c r="D94" s="211">
        <v>192030729</v>
      </c>
      <c r="E94" s="218">
        <v>1060</v>
      </c>
      <c r="F94" s="211">
        <v>1274</v>
      </c>
      <c r="G94" s="211">
        <v>1004</v>
      </c>
      <c r="H94" s="218" t="s">
        <v>778</v>
      </c>
      <c r="I94" s="211" t="s">
        <v>2482</v>
      </c>
      <c r="J94" s="212" t="s">
        <v>638</v>
      </c>
      <c r="K94" s="211" t="s">
        <v>527</v>
      </c>
      <c r="L94" s="211" t="s">
        <v>797</v>
      </c>
    </row>
    <row r="95" spans="1:12" s="211" customFormat="1" x14ac:dyDescent="0.25">
      <c r="A95" s="211" t="s">
        <v>117</v>
      </c>
      <c r="B95" s="211">
        <v>371</v>
      </c>
      <c r="C95" s="211" t="s">
        <v>226</v>
      </c>
      <c r="D95" s="211">
        <v>192030731</v>
      </c>
      <c r="E95" s="218">
        <v>1060</v>
      </c>
      <c r="F95" s="211">
        <v>1242</v>
      </c>
      <c r="G95" s="211">
        <v>1004</v>
      </c>
      <c r="H95" s="218" t="s">
        <v>778</v>
      </c>
      <c r="I95" s="211" t="s">
        <v>2483</v>
      </c>
      <c r="J95" s="212" t="s">
        <v>638</v>
      </c>
      <c r="K95" s="211" t="s">
        <v>527</v>
      </c>
      <c r="L95" s="211" t="s">
        <v>797</v>
      </c>
    </row>
    <row r="96" spans="1:12" s="211" customFormat="1" x14ac:dyDescent="0.25">
      <c r="A96" s="211" t="s">
        <v>117</v>
      </c>
      <c r="B96" s="211">
        <v>371</v>
      </c>
      <c r="C96" s="211" t="s">
        <v>226</v>
      </c>
      <c r="D96" s="211">
        <v>192030732</v>
      </c>
      <c r="E96" s="218">
        <v>1060</v>
      </c>
      <c r="F96" s="211">
        <v>1274</v>
      </c>
      <c r="G96" s="211">
        <v>1004</v>
      </c>
      <c r="H96" s="218" t="s">
        <v>778</v>
      </c>
      <c r="I96" s="211" t="s">
        <v>2484</v>
      </c>
      <c r="J96" s="212" t="s">
        <v>638</v>
      </c>
      <c r="K96" s="211" t="s">
        <v>527</v>
      </c>
      <c r="L96" s="211" t="s">
        <v>797</v>
      </c>
    </row>
    <row r="97" spans="1:12" s="211" customFormat="1" x14ac:dyDescent="0.25">
      <c r="A97" s="211" t="s">
        <v>117</v>
      </c>
      <c r="B97" s="211">
        <v>371</v>
      </c>
      <c r="C97" s="211" t="s">
        <v>226</v>
      </c>
      <c r="D97" s="211">
        <v>192030734</v>
      </c>
      <c r="E97" s="218">
        <v>1060</v>
      </c>
      <c r="F97" s="211">
        <v>1274</v>
      </c>
      <c r="G97" s="211">
        <v>1004</v>
      </c>
      <c r="H97" s="218" t="s">
        <v>778</v>
      </c>
      <c r="I97" s="211" t="s">
        <v>2485</v>
      </c>
      <c r="J97" s="212" t="s">
        <v>638</v>
      </c>
      <c r="K97" s="211" t="s">
        <v>527</v>
      </c>
      <c r="L97" s="211" t="s">
        <v>797</v>
      </c>
    </row>
    <row r="98" spans="1:12" s="211" customFormat="1" x14ac:dyDescent="0.25">
      <c r="A98" s="211" t="s">
        <v>117</v>
      </c>
      <c r="B98" s="211">
        <v>371</v>
      </c>
      <c r="C98" s="211" t="s">
        <v>226</v>
      </c>
      <c r="D98" s="211">
        <v>192030735</v>
      </c>
      <c r="E98" s="218">
        <v>1060</v>
      </c>
      <c r="F98" s="211">
        <v>1242</v>
      </c>
      <c r="G98" s="211">
        <v>1004</v>
      </c>
      <c r="H98" s="218" t="s">
        <v>778</v>
      </c>
      <c r="I98" s="211" t="s">
        <v>2486</v>
      </c>
      <c r="J98" s="212" t="s">
        <v>638</v>
      </c>
      <c r="K98" s="211" t="s">
        <v>527</v>
      </c>
      <c r="L98" s="211" t="s">
        <v>797</v>
      </c>
    </row>
    <row r="99" spans="1:12" s="211" customFormat="1" x14ac:dyDescent="0.25">
      <c r="A99" s="211" t="s">
        <v>117</v>
      </c>
      <c r="B99" s="211">
        <v>371</v>
      </c>
      <c r="C99" s="211" t="s">
        <v>226</v>
      </c>
      <c r="D99" s="211">
        <v>192030736</v>
      </c>
      <c r="E99" s="218">
        <v>1060</v>
      </c>
      <c r="F99" s="211">
        <v>1242</v>
      </c>
      <c r="G99" s="211">
        <v>1004</v>
      </c>
      <c r="H99" s="218" t="s">
        <v>778</v>
      </c>
      <c r="I99" s="211" t="s">
        <v>2487</v>
      </c>
      <c r="J99" s="212" t="s">
        <v>638</v>
      </c>
      <c r="K99" s="211" t="s">
        <v>527</v>
      </c>
      <c r="L99" s="211" t="s">
        <v>797</v>
      </c>
    </row>
    <row r="100" spans="1:12" s="211" customFormat="1" x14ac:dyDescent="0.25">
      <c r="A100" s="211" t="s">
        <v>117</v>
      </c>
      <c r="B100" s="211">
        <v>371</v>
      </c>
      <c r="C100" s="211" t="s">
        <v>226</v>
      </c>
      <c r="D100" s="211">
        <v>192030737</v>
      </c>
      <c r="E100" s="218">
        <v>1060</v>
      </c>
      <c r="F100" s="211">
        <v>1242</v>
      </c>
      <c r="G100" s="211">
        <v>1004</v>
      </c>
      <c r="H100" s="218" t="s">
        <v>778</v>
      </c>
      <c r="I100" s="211" t="s">
        <v>2488</v>
      </c>
      <c r="J100" s="212" t="s">
        <v>638</v>
      </c>
      <c r="K100" s="211" t="s">
        <v>527</v>
      </c>
      <c r="L100" s="211" t="s">
        <v>797</v>
      </c>
    </row>
    <row r="101" spans="1:12" s="211" customFormat="1" x14ac:dyDescent="0.25">
      <c r="A101" s="211" t="s">
        <v>117</v>
      </c>
      <c r="B101" s="211">
        <v>371</v>
      </c>
      <c r="C101" s="211" t="s">
        <v>226</v>
      </c>
      <c r="D101" s="211">
        <v>192030742</v>
      </c>
      <c r="E101" s="218">
        <v>1060</v>
      </c>
      <c r="F101" s="211">
        <v>1274</v>
      </c>
      <c r="G101" s="211">
        <v>1004</v>
      </c>
      <c r="H101" s="218" t="s">
        <v>778</v>
      </c>
      <c r="I101" s="211" t="s">
        <v>2489</v>
      </c>
      <c r="J101" s="212" t="s">
        <v>638</v>
      </c>
      <c r="K101" s="211" t="s">
        <v>527</v>
      </c>
      <c r="L101" s="211" t="s">
        <v>797</v>
      </c>
    </row>
    <row r="102" spans="1:12" s="211" customFormat="1" x14ac:dyDescent="0.25">
      <c r="A102" s="211" t="s">
        <v>117</v>
      </c>
      <c r="B102" s="211">
        <v>371</v>
      </c>
      <c r="C102" s="211" t="s">
        <v>226</v>
      </c>
      <c r="D102" s="211">
        <v>192030745</v>
      </c>
      <c r="E102" s="218">
        <v>1060</v>
      </c>
      <c r="F102" s="211">
        <v>1274</v>
      </c>
      <c r="G102" s="211">
        <v>1004</v>
      </c>
      <c r="H102" s="218" t="s">
        <v>778</v>
      </c>
      <c r="I102" s="211" t="s">
        <v>2490</v>
      </c>
      <c r="J102" s="212" t="s">
        <v>638</v>
      </c>
      <c r="K102" s="211" t="s">
        <v>527</v>
      </c>
      <c r="L102" s="211" t="s">
        <v>797</v>
      </c>
    </row>
    <row r="103" spans="1:12" s="211" customFormat="1" x14ac:dyDescent="0.25">
      <c r="A103" s="211" t="s">
        <v>117</v>
      </c>
      <c r="B103" s="211">
        <v>371</v>
      </c>
      <c r="C103" s="211" t="s">
        <v>226</v>
      </c>
      <c r="D103" s="211">
        <v>192030747</v>
      </c>
      <c r="E103" s="218">
        <v>1060</v>
      </c>
      <c r="F103" s="211">
        <v>1242</v>
      </c>
      <c r="G103" s="211">
        <v>1004</v>
      </c>
      <c r="H103" s="218" t="s">
        <v>778</v>
      </c>
      <c r="I103" s="211" t="s">
        <v>2491</v>
      </c>
      <c r="J103" s="212" t="s">
        <v>638</v>
      </c>
      <c r="K103" s="211" t="s">
        <v>527</v>
      </c>
      <c r="L103" s="211" t="s">
        <v>797</v>
      </c>
    </row>
    <row r="104" spans="1:12" s="211" customFormat="1" x14ac:dyDescent="0.25">
      <c r="A104" s="211" t="s">
        <v>117</v>
      </c>
      <c r="B104" s="211">
        <v>371</v>
      </c>
      <c r="C104" s="211" t="s">
        <v>226</v>
      </c>
      <c r="D104" s="211">
        <v>192030748</v>
      </c>
      <c r="E104" s="218">
        <v>1060</v>
      </c>
      <c r="F104" s="211">
        <v>1242</v>
      </c>
      <c r="G104" s="211">
        <v>1004</v>
      </c>
      <c r="H104" s="218" t="s">
        <v>778</v>
      </c>
      <c r="I104" s="211" t="s">
        <v>2492</v>
      </c>
      <c r="J104" s="212" t="s">
        <v>638</v>
      </c>
      <c r="K104" s="211" t="s">
        <v>527</v>
      </c>
      <c r="L104" s="211" t="s">
        <v>797</v>
      </c>
    </row>
    <row r="105" spans="1:12" s="211" customFormat="1" x14ac:dyDescent="0.25">
      <c r="A105" s="211" t="s">
        <v>117</v>
      </c>
      <c r="B105" s="211">
        <v>371</v>
      </c>
      <c r="C105" s="211" t="s">
        <v>226</v>
      </c>
      <c r="D105" s="211">
        <v>192030848</v>
      </c>
      <c r="E105" s="218">
        <v>1060</v>
      </c>
      <c r="F105" s="211">
        <v>1242</v>
      </c>
      <c r="G105" s="211">
        <v>1004</v>
      </c>
      <c r="H105" s="218" t="s">
        <v>778</v>
      </c>
      <c r="I105" s="211" t="s">
        <v>2493</v>
      </c>
      <c r="J105" s="212" t="s">
        <v>638</v>
      </c>
      <c r="K105" s="211" t="s">
        <v>527</v>
      </c>
      <c r="L105" s="211" t="s">
        <v>797</v>
      </c>
    </row>
    <row r="106" spans="1:12" s="211" customFormat="1" x14ac:dyDescent="0.25">
      <c r="A106" s="211" t="s">
        <v>117</v>
      </c>
      <c r="B106" s="211">
        <v>371</v>
      </c>
      <c r="C106" s="211" t="s">
        <v>226</v>
      </c>
      <c r="D106" s="211">
        <v>192030849</v>
      </c>
      <c r="E106" s="218">
        <v>1060</v>
      </c>
      <c r="F106" s="211">
        <v>1242</v>
      </c>
      <c r="G106" s="211">
        <v>1004</v>
      </c>
      <c r="H106" s="218" t="s">
        <v>778</v>
      </c>
      <c r="I106" s="211" t="s">
        <v>2494</v>
      </c>
      <c r="J106" s="212" t="s">
        <v>638</v>
      </c>
      <c r="K106" s="211" t="s">
        <v>527</v>
      </c>
      <c r="L106" s="211" t="s">
        <v>797</v>
      </c>
    </row>
    <row r="107" spans="1:12" s="211" customFormat="1" x14ac:dyDescent="0.25">
      <c r="A107" s="211" t="s">
        <v>117</v>
      </c>
      <c r="B107" s="211">
        <v>371</v>
      </c>
      <c r="C107" s="211" t="s">
        <v>226</v>
      </c>
      <c r="D107" s="211">
        <v>192030851</v>
      </c>
      <c r="E107" s="218">
        <v>1060</v>
      </c>
      <c r="F107" s="211">
        <v>1274</v>
      </c>
      <c r="G107" s="211">
        <v>1004</v>
      </c>
      <c r="H107" s="218" t="s">
        <v>778</v>
      </c>
      <c r="I107" s="211" t="s">
        <v>2495</v>
      </c>
      <c r="J107" s="212" t="s">
        <v>638</v>
      </c>
      <c r="K107" s="211" t="s">
        <v>527</v>
      </c>
      <c r="L107" s="211" t="s">
        <v>797</v>
      </c>
    </row>
    <row r="108" spans="1:12" s="211" customFormat="1" x14ac:dyDescent="0.25">
      <c r="A108" s="211" t="s">
        <v>117</v>
      </c>
      <c r="B108" s="211">
        <v>371</v>
      </c>
      <c r="C108" s="211" t="s">
        <v>226</v>
      </c>
      <c r="D108" s="211">
        <v>192042483</v>
      </c>
      <c r="E108" s="218">
        <v>1060</v>
      </c>
      <c r="F108" s="211">
        <v>1242</v>
      </c>
      <c r="G108" s="211">
        <v>1004</v>
      </c>
      <c r="H108" s="218" t="s">
        <v>778</v>
      </c>
      <c r="I108" s="211" t="s">
        <v>3063</v>
      </c>
      <c r="J108" s="212" t="s">
        <v>638</v>
      </c>
      <c r="K108" s="211" t="s">
        <v>527</v>
      </c>
      <c r="L108" s="211" t="s">
        <v>797</v>
      </c>
    </row>
    <row r="109" spans="1:12" s="211" customFormat="1" x14ac:dyDescent="0.25">
      <c r="A109" s="211" t="s">
        <v>117</v>
      </c>
      <c r="B109" s="211">
        <v>371</v>
      </c>
      <c r="C109" s="211" t="s">
        <v>226</v>
      </c>
      <c r="D109" s="211">
        <v>192042484</v>
      </c>
      <c r="E109" s="218">
        <v>1060</v>
      </c>
      <c r="F109" s="211">
        <v>1242</v>
      </c>
      <c r="G109" s="211">
        <v>1004</v>
      </c>
      <c r="H109" s="218" t="s">
        <v>778</v>
      </c>
      <c r="I109" s="211" t="s">
        <v>3064</v>
      </c>
      <c r="J109" s="212" t="s">
        <v>638</v>
      </c>
      <c r="K109" s="211" t="s">
        <v>527</v>
      </c>
      <c r="L109" s="211" t="s">
        <v>797</v>
      </c>
    </row>
    <row r="110" spans="1:12" s="211" customFormat="1" x14ac:dyDescent="0.25">
      <c r="A110" s="211" t="s">
        <v>117</v>
      </c>
      <c r="B110" s="211">
        <v>371</v>
      </c>
      <c r="C110" s="211" t="s">
        <v>226</v>
      </c>
      <c r="D110" s="211">
        <v>192043372</v>
      </c>
      <c r="E110" s="218">
        <v>1060</v>
      </c>
      <c r="F110" s="211">
        <v>1274</v>
      </c>
      <c r="G110" s="211">
        <v>1004</v>
      </c>
      <c r="H110" s="218" t="s">
        <v>778</v>
      </c>
      <c r="I110" s="211" t="s">
        <v>3065</v>
      </c>
      <c r="J110" s="212" t="s">
        <v>638</v>
      </c>
      <c r="K110" s="211" t="s">
        <v>527</v>
      </c>
      <c r="L110" s="211" t="s">
        <v>797</v>
      </c>
    </row>
    <row r="111" spans="1:12" s="211" customFormat="1" x14ac:dyDescent="0.25">
      <c r="A111" s="211" t="s">
        <v>117</v>
      </c>
      <c r="B111" s="211">
        <v>371</v>
      </c>
      <c r="C111" s="211" t="s">
        <v>226</v>
      </c>
      <c r="D111" s="211">
        <v>192043373</v>
      </c>
      <c r="E111" s="218">
        <v>1060</v>
      </c>
      <c r="F111" s="211">
        <v>1274</v>
      </c>
      <c r="G111" s="211">
        <v>1004</v>
      </c>
      <c r="H111" s="218" t="s">
        <v>778</v>
      </c>
      <c r="I111" s="211" t="s">
        <v>3066</v>
      </c>
      <c r="J111" s="212" t="s">
        <v>638</v>
      </c>
      <c r="K111" s="211" t="s">
        <v>527</v>
      </c>
      <c r="L111" s="211" t="s">
        <v>797</v>
      </c>
    </row>
    <row r="112" spans="1:12" s="211" customFormat="1" x14ac:dyDescent="0.25">
      <c r="A112" s="211" t="s">
        <v>117</v>
      </c>
      <c r="B112" s="211">
        <v>371</v>
      </c>
      <c r="C112" s="211" t="s">
        <v>226</v>
      </c>
      <c r="D112" s="211">
        <v>192046469</v>
      </c>
      <c r="E112" s="218">
        <v>1060</v>
      </c>
      <c r="F112" s="211">
        <v>1274</v>
      </c>
      <c r="G112" s="211">
        <v>1004</v>
      </c>
      <c r="H112" s="218" t="s">
        <v>778</v>
      </c>
      <c r="I112" s="211" t="s">
        <v>3067</v>
      </c>
      <c r="J112" s="212" t="s">
        <v>638</v>
      </c>
      <c r="K112" s="211" t="s">
        <v>527</v>
      </c>
      <c r="L112" s="211" t="s">
        <v>797</v>
      </c>
    </row>
    <row r="113" spans="1:12" s="211" customFormat="1" x14ac:dyDescent="0.25">
      <c r="A113" s="211" t="s">
        <v>117</v>
      </c>
      <c r="B113" s="211">
        <v>371</v>
      </c>
      <c r="C113" s="211" t="s">
        <v>226</v>
      </c>
      <c r="D113" s="211">
        <v>192046470</v>
      </c>
      <c r="E113" s="218">
        <v>1060</v>
      </c>
      <c r="F113" s="211">
        <v>1274</v>
      </c>
      <c r="G113" s="211">
        <v>1004</v>
      </c>
      <c r="H113" s="218" t="s">
        <v>778</v>
      </c>
      <c r="I113" s="211" t="s">
        <v>3068</v>
      </c>
      <c r="J113" s="212" t="s">
        <v>638</v>
      </c>
      <c r="K113" s="211" t="s">
        <v>527</v>
      </c>
      <c r="L113" s="211" t="s">
        <v>797</v>
      </c>
    </row>
    <row r="114" spans="1:12" s="211" customFormat="1" x14ac:dyDescent="0.25">
      <c r="A114" s="211" t="s">
        <v>117</v>
      </c>
      <c r="B114" s="211">
        <v>371</v>
      </c>
      <c r="C114" s="211" t="s">
        <v>226</v>
      </c>
      <c r="D114" s="211">
        <v>192046471</v>
      </c>
      <c r="E114" s="218">
        <v>1060</v>
      </c>
      <c r="F114" s="211">
        <v>1274</v>
      </c>
      <c r="G114" s="211">
        <v>1004</v>
      </c>
      <c r="H114" s="218" t="s">
        <v>778</v>
      </c>
      <c r="I114" s="211" t="s">
        <v>3069</v>
      </c>
      <c r="J114" s="212" t="s">
        <v>638</v>
      </c>
      <c r="K114" s="211" t="s">
        <v>527</v>
      </c>
      <c r="L114" s="211" t="s">
        <v>797</v>
      </c>
    </row>
    <row r="115" spans="1:12" s="211" customFormat="1" x14ac:dyDescent="0.25">
      <c r="A115" s="211" t="s">
        <v>117</v>
      </c>
      <c r="B115" s="211">
        <v>385</v>
      </c>
      <c r="C115" s="211" t="s">
        <v>231</v>
      </c>
      <c r="D115" s="211">
        <v>192048490</v>
      </c>
      <c r="E115" s="218">
        <v>1060</v>
      </c>
      <c r="F115" s="211">
        <v>1242</v>
      </c>
      <c r="G115" s="211">
        <v>1004</v>
      </c>
      <c r="H115" s="218" t="s">
        <v>778</v>
      </c>
      <c r="I115" s="211" t="s">
        <v>3675</v>
      </c>
      <c r="J115" s="212" t="s">
        <v>638</v>
      </c>
      <c r="K115" s="211" t="s">
        <v>527</v>
      </c>
      <c r="L115" s="211" t="s">
        <v>797</v>
      </c>
    </row>
    <row r="116" spans="1:12" s="211" customFormat="1" x14ac:dyDescent="0.25">
      <c r="A116" s="211" t="s">
        <v>117</v>
      </c>
      <c r="B116" s="211">
        <v>387</v>
      </c>
      <c r="C116" s="211" t="s">
        <v>233</v>
      </c>
      <c r="D116" s="211">
        <v>191975371</v>
      </c>
      <c r="E116" s="218">
        <v>1080</v>
      </c>
      <c r="F116" s="211">
        <v>1242</v>
      </c>
      <c r="G116" s="211">
        <v>1004</v>
      </c>
      <c r="H116" s="218" t="s">
        <v>525</v>
      </c>
      <c r="I116" s="211" t="s">
        <v>3386</v>
      </c>
      <c r="J116" s="212" t="s">
        <v>638</v>
      </c>
      <c r="K116" s="211" t="s">
        <v>527</v>
      </c>
      <c r="L116" s="211" t="s">
        <v>798</v>
      </c>
    </row>
    <row r="117" spans="1:12" s="211" customFormat="1" x14ac:dyDescent="0.25">
      <c r="A117" s="211" t="s">
        <v>117</v>
      </c>
      <c r="B117" s="211">
        <v>387</v>
      </c>
      <c r="C117" s="211" t="s">
        <v>233</v>
      </c>
      <c r="D117" s="211">
        <v>191981802</v>
      </c>
      <c r="E117" s="218">
        <v>1080</v>
      </c>
      <c r="F117" s="211">
        <v>1252</v>
      </c>
      <c r="G117" s="211">
        <v>1004</v>
      </c>
      <c r="H117" s="218" t="s">
        <v>525</v>
      </c>
      <c r="I117" s="211" t="s">
        <v>3676</v>
      </c>
      <c r="J117" s="212" t="s">
        <v>638</v>
      </c>
      <c r="K117" s="211" t="s">
        <v>527</v>
      </c>
      <c r="L117" s="211" t="s">
        <v>798</v>
      </c>
    </row>
    <row r="118" spans="1:12" s="211" customFormat="1" x14ac:dyDescent="0.25">
      <c r="A118" s="211" t="s">
        <v>117</v>
      </c>
      <c r="B118" s="211">
        <v>387</v>
      </c>
      <c r="C118" s="211" t="s">
        <v>233</v>
      </c>
      <c r="D118" s="211">
        <v>192049195</v>
      </c>
      <c r="E118" s="218">
        <v>1080</v>
      </c>
      <c r="G118" s="211">
        <v>1004</v>
      </c>
      <c r="H118" s="218" t="s">
        <v>525</v>
      </c>
      <c r="I118" s="211" t="s">
        <v>3387</v>
      </c>
      <c r="J118" s="212" t="s">
        <v>638</v>
      </c>
      <c r="K118" s="211" t="s">
        <v>527</v>
      </c>
      <c r="L118" s="211" t="s">
        <v>798</v>
      </c>
    </row>
    <row r="119" spans="1:12" s="211" customFormat="1" x14ac:dyDescent="0.25">
      <c r="A119" s="211" t="s">
        <v>117</v>
      </c>
      <c r="B119" s="211">
        <v>387</v>
      </c>
      <c r="C119" s="211" t="s">
        <v>233</v>
      </c>
      <c r="D119" s="211">
        <v>192052134</v>
      </c>
      <c r="E119" s="218">
        <v>1080</v>
      </c>
      <c r="G119" s="211">
        <v>1004</v>
      </c>
      <c r="H119" s="218" t="s">
        <v>525</v>
      </c>
      <c r="I119" s="211" t="s">
        <v>3803</v>
      </c>
      <c r="J119" s="212" t="s">
        <v>638</v>
      </c>
      <c r="K119" s="211" t="s">
        <v>527</v>
      </c>
      <c r="L119" s="211" t="s">
        <v>798</v>
      </c>
    </row>
    <row r="120" spans="1:12" s="211" customFormat="1" x14ac:dyDescent="0.25">
      <c r="A120" s="211" t="s">
        <v>117</v>
      </c>
      <c r="B120" s="211">
        <v>387</v>
      </c>
      <c r="C120" s="211" t="s">
        <v>233</v>
      </c>
      <c r="D120" s="211">
        <v>504028130</v>
      </c>
      <c r="E120" s="218">
        <v>1060</v>
      </c>
      <c r="F120" s="211">
        <v>1242</v>
      </c>
      <c r="G120" s="211">
        <v>1004</v>
      </c>
      <c r="H120" s="218" t="s">
        <v>778</v>
      </c>
      <c r="I120" s="211" t="s">
        <v>3388</v>
      </c>
      <c r="J120" s="212" t="s">
        <v>638</v>
      </c>
      <c r="K120" s="211" t="s">
        <v>527</v>
      </c>
      <c r="L120" s="211" t="s">
        <v>797</v>
      </c>
    </row>
    <row r="121" spans="1:12" s="211" customFormat="1" x14ac:dyDescent="0.25">
      <c r="A121" s="211" t="s">
        <v>117</v>
      </c>
      <c r="B121" s="211">
        <v>388</v>
      </c>
      <c r="C121" s="211" t="s">
        <v>234</v>
      </c>
      <c r="D121" s="211">
        <v>192015267</v>
      </c>
      <c r="E121" s="218">
        <v>1080</v>
      </c>
      <c r="F121" s="211">
        <v>1242</v>
      </c>
      <c r="G121" s="211">
        <v>1004</v>
      </c>
      <c r="H121" s="218" t="s">
        <v>525</v>
      </c>
      <c r="I121" s="211" t="s">
        <v>2807</v>
      </c>
      <c r="J121" s="212" t="s">
        <v>638</v>
      </c>
      <c r="K121" s="211" t="s">
        <v>527</v>
      </c>
      <c r="L121" s="211" t="s">
        <v>798</v>
      </c>
    </row>
    <row r="122" spans="1:12" s="211" customFormat="1" x14ac:dyDescent="0.25">
      <c r="A122" s="211" t="s">
        <v>117</v>
      </c>
      <c r="B122" s="211">
        <v>390</v>
      </c>
      <c r="C122" s="211" t="s">
        <v>236</v>
      </c>
      <c r="D122" s="211">
        <v>192005070</v>
      </c>
      <c r="E122" s="218">
        <v>1060</v>
      </c>
      <c r="F122" s="211">
        <v>1271</v>
      </c>
      <c r="G122" s="211">
        <v>1004</v>
      </c>
      <c r="H122" s="218" t="s">
        <v>778</v>
      </c>
      <c r="I122" s="211" t="s">
        <v>3804</v>
      </c>
      <c r="J122" s="212" t="s">
        <v>638</v>
      </c>
      <c r="K122" s="211" t="s">
        <v>527</v>
      </c>
      <c r="L122" s="211" t="s">
        <v>797</v>
      </c>
    </row>
    <row r="123" spans="1:12" s="211" customFormat="1" x14ac:dyDescent="0.25">
      <c r="A123" s="211" t="s">
        <v>117</v>
      </c>
      <c r="B123" s="211">
        <v>392</v>
      </c>
      <c r="C123" s="211" t="s">
        <v>238</v>
      </c>
      <c r="D123" s="211">
        <v>191281650</v>
      </c>
      <c r="E123" s="218">
        <v>1060</v>
      </c>
      <c r="G123" s="211">
        <v>1004</v>
      </c>
      <c r="H123" s="218" t="s">
        <v>778</v>
      </c>
      <c r="I123" s="211" t="s">
        <v>2932</v>
      </c>
      <c r="J123" s="212" t="s">
        <v>638</v>
      </c>
      <c r="K123" s="211" t="s">
        <v>527</v>
      </c>
      <c r="L123" s="211" t="s">
        <v>797</v>
      </c>
    </row>
    <row r="124" spans="1:12" s="211" customFormat="1" x14ac:dyDescent="0.25">
      <c r="A124" s="211" t="s">
        <v>117</v>
      </c>
      <c r="B124" s="211">
        <v>402</v>
      </c>
      <c r="C124" s="211" t="s">
        <v>242</v>
      </c>
      <c r="D124" s="211">
        <v>191907280</v>
      </c>
      <c r="E124" s="218">
        <v>1080</v>
      </c>
      <c r="F124" s="211">
        <v>1242</v>
      </c>
      <c r="G124" s="211">
        <v>1004</v>
      </c>
      <c r="H124" s="218" t="s">
        <v>525</v>
      </c>
      <c r="I124" s="211" t="s">
        <v>2722</v>
      </c>
      <c r="J124" s="212" t="s">
        <v>638</v>
      </c>
      <c r="K124" s="211" t="s">
        <v>527</v>
      </c>
      <c r="L124" s="211" t="s">
        <v>798</v>
      </c>
    </row>
    <row r="125" spans="1:12" s="211" customFormat="1" x14ac:dyDescent="0.25">
      <c r="A125" s="211" t="s">
        <v>117</v>
      </c>
      <c r="B125" s="211">
        <v>403</v>
      </c>
      <c r="C125" s="211" t="s">
        <v>243</v>
      </c>
      <c r="D125" s="211">
        <v>190205827</v>
      </c>
      <c r="E125" s="218">
        <v>1060</v>
      </c>
      <c r="F125" s="211">
        <v>1212</v>
      </c>
      <c r="G125" s="211">
        <v>1004</v>
      </c>
      <c r="H125" s="218" t="s">
        <v>778</v>
      </c>
      <c r="I125" s="211" t="s">
        <v>765</v>
      </c>
      <c r="J125" s="212" t="s">
        <v>638</v>
      </c>
      <c r="K125" s="211" t="s">
        <v>527</v>
      </c>
      <c r="L125" s="211" t="s">
        <v>797</v>
      </c>
    </row>
    <row r="126" spans="1:12" s="211" customFormat="1" x14ac:dyDescent="0.25">
      <c r="A126" s="211" t="s">
        <v>117</v>
      </c>
      <c r="B126" s="211">
        <v>404</v>
      </c>
      <c r="C126" s="211" t="s">
        <v>244</v>
      </c>
      <c r="D126" s="211">
        <v>1306381</v>
      </c>
      <c r="E126" s="218">
        <v>1040</v>
      </c>
      <c r="G126" s="211">
        <v>1004</v>
      </c>
      <c r="H126" s="218" t="s">
        <v>778</v>
      </c>
      <c r="I126" s="211" t="s">
        <v>2074</v>
      </c>
      <c r="J126" s="212" t="s">
        <v>638</v>
      </c>
      <c r="K126" s="211" t="s">
        <v>527</v>
      </c>
      <c r="L126" s="211" t="s">
        <v>796</v>
      </c>
    </row>
    <row r="127" spans="1:12" s="211" customFormat="1" x14ac:dyDescent="0.25">
      <c r="A127" s="211" t="s">
        <v>117</v>
      </c>
      <c r="B127" s="211">
        <v>404</v>
      </c>
      <c r="C127" s="211" t="s">
        <v>244</v>
      </c>
      <c r="D127" s="211">
        <v>191128752</v>
      </c>
      <c r="E127" s="218">
        <v>1060</v>
      </c>
      <c r="F127" s="211">
        <v>1264</v>
      </c>
      <c r="G127" s="211">
        <v>1004</v>
      </c>
      <c r="H127" s="218" t="s">
        <v>778</v>
      </c>
      <c r="I127" s="211" t="s">
        <v>2075</v>
      </c>
      <c r="J127" s="212" t="s">
        <v>638</v>
      </c>
      <c r="K127" s="211" t="s">
        <v>527</v>
      </c>
      <c r="L127" s="211" t="s">
        <v>797</v>
      </c>
    </row>
    <row r="128" spans="1:12" s="211" customFormat="1" x14ac:dyDescent="0.25">
      <c r="A128" s="211" t="s">
        <v>117</v>
      </c>
      <c r="B128" s="211">
        <v>404</v>
      </c>
      <c r="C128" s="211" t="s">
        <v>244</v>
      </c>
      <c r="D128" s="211">
        <v>191300254</v>
      </c>
      <c r="E128" s="218">
        <v>1060</v>
      </c>
      <c r="F128" s="211">
        <v>1265</v>
      </c>
      <c r="G128" s="211">
        <v>1004</v>
      </c>
      <c r="H128" s="218" t="s">
        <v>778</v>
      </c>
      <c r="I128" s="211" t="s">
        <v>2076</v>
      </c>
      <c r="J128" s="212" t="s">
        <v>638</v>
      </c>
      <c r="K128" s="211" t="s">
        <v>527</v>
      </c>
      <c r="L128" s="211" t="s">
        <v>797</v>
      </c>
    </row>
    <row r="129" spans="1:12" s="211" customFormat="1" x14ac:dyDescent="0.25">
      <c r="A129" s="211" t="s">
        <v>117</v>
      </c>
      <c r="B129" s="211">
        <v>404</v>
      </c>
      <c r="C129" s="211" t="s">
        <v>244</v>
      </c>
      <c r="D129" s="211">
        <v>191480814</v>
      </c>
      <c r="E129" s="218">
        <v>1080</v>
      </c>
      <c r="F129" s="211">
        <v>1274</v>
      </c>
      <c r="G129" s="211">
        <v>1004</v>
      </c>
      <c r="H129" s="218" t="s">
        <v>525</v>
      </c>
      <c r="I129" s="211" t="s">
        <v>3389</v>
      </c>
      <c r="J129" s="212" t="s">
        <v>638</v>
      </c>
      <c r="K129" s="211" t="s">
        <v>527</v>
      </c>
      <c r="L129" s="211" t="s">
        <v>798</v>
      </c>
    </row>
    <row r="130" spans="1:12" s="211" customFormat="1" x14ac:dyDescent="0.25">
      <c r="A130" s="211" t="s">
        <v>117</v>
      </c>
      <c r="B130" s="211">
        <v>404</v>
      </c>
      <c r="C130" s="211" t="s">
        <v>244</v>
      </c>
      <c r="D130" s="211">
        <v>191489915</v>
      </c>
      <c r="E130" s="218">
        <v>1060</v>
      </c>
      <c r="F130" s="211">
        <v>1251</v>
      </c>
      <c r="G130" s="211">
        <v>1004</v>
      </c>
      <c r="H130" s="218" t="s">
        <v>778</v>
      </c>
      <c r="I130" s="211" t="s">
        <v>2077</v>
      </c>
      <c r="J130" s="212" t="s">
        <v>638</v>
      </c>
      <c r="K130" s="211" t="s">
        <v>527</v>
      </c>
      <c r="L130" s="211" t="s">
        <v>797</v>
      </c>
    </row>
    <row r="131" spans="1:12" s="211" customFormat="1" x14ac:dyDescent="0.25">
      <c r="A131" s="211" t="s">
        <v>117</v>
      </c>
      <c r="B131" s="211">
        <v>404</v>
      </c>
      <c r="C131" s="211" t="s">
        <v>244</v>
      </c>
      <c r="D131" s="211">
        <v>191489932</v>
      </c>
      <c r="E131" s="218">
        <v>1080</v>
      </c>
      <c r="F131" s="211">
        <v>1273</v>
      </c>
      <c r="G131" s="211">
        <v>1004</v>
      </c>
      <c r="H131" s="218" t="s">
        <v>525</v>
      </c>
      <c r="I131" s="211" t="s">
        <v>1632</v>
      </c>
      <c r="J131" s="212" t="s">
        <v>638</v>
      </c>
      <c r="K131" s="211" t="s">
        <v>527</v>
      </c>
      <c r="L131" s="211" t="s">
        <v>798</v>
      </c>
    </row>
    <row r="132" spans="1:12" s="211" customFormat="1" x14ac:dyDescent="0.25">
      <c r="A132" s="211" t="s">
        <v>117</v>
      </c>
      <c r="B132" s="211">
        <v>404</v>
      </c>
      <c r="C132" s="211" t="s">
        <v>244</v>
      </c>
      <c r="D132" s="211">
        <v>191491556</v>
      </c>
      <c r="E132" s="218">
        <v>1080</v>
      </c>
      <c r="F132" s="211">
        <v>1273</v>
      </c>
      <c r="G132" s="211">
        <v>1004</v>
      </c>
      <c r="H132" s="218" t="s">
        <v>525</v>
      </c>
      <c r="I132" s="211" t="s">
        <v>1633</v>
      </c>
      <c r="J132" s="212" t="s">
        <v>638</v>
      </c>
      <c r="K132" s="211" t="s">
        <v>527</v>
      </c>
      <c r="L132" s="211" t="s">
        <v>798</v>
      </c>
    </row>
    <row r="133" spans="1:12" s="211" customFormat="1" x14ac:dyDescent="0.25">
      <c r="A133" s="211" t="s">
        <v>117</v>
      </c>
      <c r="B133" s="211">
        <v>404</v>
      </c>
      <c r="C133" s="211" t="s">
        <v>244</v>
      </c>
      <c r="D133" s="211">
        <v>191811496</v>
      </c>
      <c r="E133" s="218">
        <v>1080</v>
      </c>
      <c r="F133" s="211">
        <v>1242</v>
      </c>
      <c r="G133" s="211">
        <v>1004</v>
      </c>
      <c r="H133" s="218" t="s">
        <v>525</v>
      </c>
      <c r="I133" s="211" t="s">
        <v>3070</v>
      </c>
      <c r="J133" s="212" t="s">
        <v>638</v>
      </c>
      <c r="K133" s="211" t="s">
        <v>527</v>
      </c>
      <c r="L133" s="211" t="s">
        <v>798</v>
      </c>
    </row>
    <row r="134" spans="1:12" s="211" customFormat="1" x14ac:dyDescent="0.25">
      <c r="A134" s="211" t="s">
        <v>117</v>
      </c>
      <c r="B134" s="211">
        <v>404</v>
      </c>
      <c r="C134" s="211" t="s">
        <v>244</v>
      </c>
      <c r="D134" s="211">
        <v>191985750</v>
      </c>
      <c r="E134" s="218">
        <v>1080</v>
      </c>
      <c r="F134" s="211">
        <v>1252</v>
      </c>
      <c r="G134" s="211">
        <v>1004</v>
      </c>
      <c r="H134" s="218" t="s">
        <v>525</v>
      </c>
      <c r="I134" s="211" t="s">
        <v>2723</v>
      </c>
      <c r="J134" s="212" t="s">
        <v>638</v>
      </c>
      <c r="K134" s="211" t="s">
        <v>527</v>
      </c>
      <c r="L134" s="211" t="s">
        <v>798</v>
      </c>
    </row>
    <row r="135" spans="1:12" s="211" customFormat="1" x14ac:dyDescent="0.25">
      <c r="A135" s="211" t="s">
        <v>117</v>
      </c>
      <c r="B135" s="211">
        <v>404</v>
      </c>
      <c r="C135" s="211" t="s">
        <v>244</v>
      </c>
      <c r="D135" s="211">
        <v>191991369</v>
      </c>
      <c r="E135" s="218">
        <v>1080</v>
      </c>
      <c r="F135" s="211">
        <v>1242</v>
      </c>
      <c r="G135" s="211">
        <v>1004</v>
      </c>
      <c r="H135" s="218" t="s">
        <v>525</v>
      </c>
      <c r="I135" s="211" t="s">
        <v>3390</v>
      </c>
      <c r="J135" s="212" t="s">
        <v>638</v>
      </c>
      <c r="K135" s="211" t="s">
        <v>527</v>
      </c>
      <c r="L135" s="211" t="s">
        <v>798</v>
      </c>
    </row>
    <row r="136" spans="1:12" s="211" customFormat="1" x14ac:dyDescent="0.25">
      <c r="A136" s="211" t="s">
        <v>117</v>
      </c>
      <c r="B136" s="211">
        <v>404</v>
      </c>
      <c r="C136" s="211" t="s">
        <v>244</v>
      </c>
      <c r="D136" s="211">
        <v>192005362</v>
      </c>
      <c r="E136" s="218">
        <v>1080</v>
      </c>
      <c r="F136" s="211">
        <v>1242</v>
      </c>
      <c r="G136" s="211">
        <v>1004</v>
      </c>
      <c r="H136" s="218" t="s">
        <v>525</v>
      </c>
      <c r="I136" s="211" t="s">
        <v>3311</v>
      </c>
      <c r="J136" s="212" t="s">
        <v>638</v>
      </c>
      <c r="K136" s="211" t="s">
        <v>527</v>
      </c>
      <c r="L136" s="211" t="s">
        <v>798</v>
      </c>
    </row>
    <row r="137" spans="1:12" s="211" customFormat="1" x14ac:dyDescent="0.25">
      <c r="A137" s="211" t="s">
        <v>117</v>
      </c>
      <c r="B137" s="211">
        <v>404</v>
      </c>
      <c r="C137" s="211" t="s">
        <v>244</v>
      </c>
      <c r="D137" s="211">
        <v>192008102</v>
      </c>
      <c r="E137" s="218">
        <v>1080</v>
      </c>
      <c r="F137" s="211">
        <v>1271</v>
      </c>
      <c r="G137" s="211">
        <v>1004</v>
      </c>
      <c r="H137" s="218" t="s">
        <v>525</v>
      </c>
      <c r="I137" s="211" t="s">
        <v>3391</v>
      </c>
      <c r="J137" s="212" t="s">
        <v>638</v>
      </c>
      <c r="K137" s="211" t="s">
        <v>527</v>
      </c>
      <c r="L137" s="211" t="s">
        <v>798</v>
      </c>
    </row>
    <row r="138" spans="1:12" s="211" customFormat="1" x14ac:dyDescent="0.25">
      <c r="A138" s="211" t="s">
        <v>117</v>
      </c>
      <c r="B138" s="211">
        <v>404</v>
      </c>
      <c r="C138" s="211" t="s">
        <v>244</v>
      </c>
      <c r="D138" s="211">
        <v>504062280</v>
      </c>
      <c r="E138" s="218">
        <v>1080</v>
      </c>
      <c r="F138" s="211">
        <v>1242</v>
      </c>
      <c r="G138" s="211">
        <v>1007</v>
      </c>
      <c r="H138" s="218" t="s">
        <v>525</v>
      </c>
      <c r="I138" s="211" t="s">
        <v>2959</v>
      </c>
      <c r="J138" s="212" t="s">
        <v>638</v>
      </c>
      <c r="K138" s="211" t="s">
        <v>527</v>
      </c>
      <c r="L138" s="211" t="s">
        <v>2988</v>
      </c>
    </row>
    <row r="139" spans="1:12" s="211" customFormat="1" x14ac:dyDescent="0.25">
      <c r="A139" s="211" t="s">
        <v>117</v>
      </c>
      <c r="B139" s="211">
        <v>404</v>
      </c>
      <c r="C139" s="211" t="s">
        <v>244</v>
      </c>
      <c r="D139" s="211">
        <v>504062294</v>
      </c>
      <c r="E139" s="218">
        <v>1080</v>
      </c>
      <c r="F139" s="211">
        <v>1252</v>
      </c>
      <c r="G139" s="211">
        <v>1007</v>
      </c>
      <c r="H139" s="218" t="s">
        <v>525</v>
      </c>
      <c r="I139" s="211" t="s">
        <v>1835</v>
      </c>
      <c r="J139" s="212" t="s">
        <v>638</v>
      </c>
      <c r="K139" s="211" t="s">
        <v>527</v>
      </c>
      <c r="L139" s="211" t="s">
        <v>1837</v>
      </c>
    </row>
    <row r="140" spans="1:12" s="211" customFormat="1" x14ac:dyDescent="0.25">
      <c r="A140" s="211" t="s">
        <v>117</v>
      </c>
      <c r="B140" s="211">
        <v>412</v>
      </c>
      <c r="C140" s="211" t="s">
        <v>252</v>
      </c>
      <c r="D140" s="211">
        <v>191990007</v>
      </c>
      <c r="E140" s="218">
        <v>1060</v>
      </c>
      <c r="F140" s="211">
        <v>1242</v>
      </c>
      <c r="G140" s="211">
        <v>1004</v>
      </c>
      <c r="H140" s="218" t="s">
        <v>778</v>
      </c>
      <c r="I140" s="211" t="s">
        <v>2763</v>
      </c>
      <c r="J140" s="212" t="s">
        <v>638</v>
      </c>
      <c r="K140" s="211" t="s">
        <v>527</v>
      </c>
      <c r="L140" s="211" t="s">
        <v>797</v>
      </c>
    </row>
    <row r="141" spans="1:12" s="211" customFormat="1" x14ac:dyDescent="0.25">
      <c r="A141" s="211" t="s">
        <v>117</v>
      </c>
      <c r="B141" s="211">
        <v>413</v>
      </c>
      <c r="C141" s="211" t="s">
        <v>253</v>
      </c>
      <c r="D141" s="211">
        <v>190150915</v>
      </c>
      <c r="E141" s="218">
        <v>1060</v>
      </c>
      <c r="F141" s="211">
        <v>1251</v>
      </c>
      <c r="G141" s="211">
        <v>1004</v>
      </c>
      <c r="H141" s="218" t="s">
        <v>778</v>
      </c>
      <c r="I141" s="211" t="s">
        <v>766</v>
      </c>
      <c r="J141" s="212" t="s">
        <v>638</v>
      </c>
      <c r="K141" s="211" t="s">
        <v>527</v>
      </c>
      <c r="L141" s="211" t="s">
        <v>797</v>
      </c>
    </row>
    <row r="142" spans="1:12" s="211" customFormat="1" x14ac:dyDescent="0.25">
      <c r="A142" s="211" t="s">
        <v>117</v>
      </c>
      <c r="B142" s="211">
        <v>414</v>
      </c>
      <c r="C142" s="211" t="s">
        <v>254</v>
      </c>
      <c r="D142" s="211">
        <v>192020973</v>
      </c>
      <c r="E142" s="218">
        <v>1060</v>
      </c>
      <c r="F142" s="211">
        <v>1274</v>
      </c>
      <c r="G142" s="211">
        <v>1004</v>
      </c>
      <c r="H142" s="218" t="s">
        <v>778</v>
      </c>
      <c r="I142" s="211" t="s">
        <v>2808</v>
      </c>
      <c r="J142" s="212" t="s">
        <v>638</v>
      </c>
      <c r="K142" s="211" t="s">
        <v>527</v>
      </c>
      <c r="L142" s="211" t="s">
        <v>797</v>
      </c>
    </row>
    <row r="143" spans="1:12" s="211" customFormat="1" x14ac:dyDescent="0.25">
      <c r="A143" s="211" t="s">
        <v>117</v>
      </c>
      <c r="B143" s="211">
        <v>414</v>
      </c>
      <c r="C143" s="211" t="s">
        <v>254</v>
      </c>
      <c r="D143" s="211">
        <v>504063781</v>
      </c>
      <c r="E143" s="218">
        <v>1040</v>
      </c>
      <c r="F143" s="211">
        <v>1130</v>
      </c>
      <c r="G143" s="211">
        <v>1004</v>
      </c>
      <c r="H143" s="218" t="s">
        <v>778</v>
      </c>
      <c r="I143" s="211" t="s">
        <v>2078</v>
      </c>
      <c r="J143" s="212" t="s">
        <v>638</v>
      </c>
      <c r="K143" s="211" t="s">
        <v>527</v>
      </c>
      <c r="L143" s="211" t="s">
        <v>796</v>
      </c>
    </row>
    <row r="144" spans="1:12" s="211" customFormat="1" x14ac:dyDescent="0.25">
      <c r="A144" s="211" t="s">
        <v>117</v>
      </c>
      <c r="B144" s="211">
        <v>418</v>
      </c>
      <c r="C144" s="211" t="s">
        <v>256</v>
      </c>
      <c r="D144" s="211">
        <v>1314706</v>
      </c>
      <c r="E144" s="218">
        <v>1040</v>
      </c>
      <c r="F144" s="211">
        <v>1211</v>
      </c>
      <c r="G144" s="211">
        <v>1004</v>
      </c>
      <c r="H144" s="218" t="s">
        <v>778</v>
      </c>
      <c r="I144" s="211" t="s">
        <v>2809</v>
      </c>
      <c r="J144" s="212" t="s">
        <v>638</v>
      </c>
      <c r="K144" s="211" t="s">
        <v>527</v>
      </c>
      <c r="L144" s="211" t="s">
        <v>796</v>
      </c>
    </row>
    <row r="145" spans="1:12" s="211" customFormat="1" x14ac:dyDescent="0.25">
      <c r="A145" s="211" t="s">
        <v>117</v>
      </c>
      <c r="B145" s="211">
        <v>418</v>
      </c>
      <c r="C145" s="211" t="s">
        <v>256</v>
      </c>
      <c r="D145" s="211">
        <v>191979010</v>
      </c>
      <c r="E145" s="218">
        <v>1060</v>
      </c>
      <c r="F145" s="211">
        <v>1251</v>
      </c>
      <c r="G145" s="211">
        <v>1004</v>
      </c>
      <c r="H145" s="218" t="s">
        <v>778</v>
      </c>
      <c r="I145" s="211" t="s">
        <v>809</v>
      </c>
      <c r="J145" s="212" t="s">
        <v>638</v>
      </c>
      <c r="K145" s="211" t="s">
        <v>527</v>
      </c>
      <c r="L145" s="211" t="s">
        <v>797</v>
      </c>
    </row>
    <row r="146" spans="1:12" s="211" customFormat="1" x14ac:dyDescent="0.25">
      <c r="A146" s="211" t="s">
        <v>117</v>
      </c>
      <c r="B146" s="211">
        <v>418</v>
      </c>
      <c r="C146" s="211" t="s">
        <v>256</v>
      </c>
      <c r="D146" s="211">
        <v>191996542</v>
      </c>
      <c r="E146" s="218">
        <v>1080</v>
      </c>
      <c r="F146" s="211">
        <v>1241</v>
      </c>
      <c r="G146" s="211">
        <v>1004</v>
      </c>
      <c r="H146" s="218" t="s">
        <v>525</v>
      </c>
      <c r="I146" s="211" t="s">
        <v>3168</v>
      </c>
      <c r="J146" s="212" t="s">
        <v>638</v>
      </c>
      <c r="K146" s="211" t="s">
        <v>527</v>
      </c>
      <c r="L146" s="211" t="s">
        <v>3196</v>
      </c>
    </row>
    <row r="147" spans="1:12" s="211" customFormat="1" x14ac:dyDescent="0.25">
      <c r="A147" s="211" t="s">
        <v>117</v>
      </c>
      <c r="B147" s="211">
        <v>418</v>
      </c>
      <c r="C147" s="211" t="s">
        <v>256</v>
      </c>
      <c r="D147" s="211">
        <v>192002578</v>
      </c>
      <c r="E147" s="218">
        <v>1060</v>
      </c>
      <c r="F147" s="211">
        <v>1242</v>
      </c>
      <c r="G147" s="211">
        <v>1004</v>
      </c>
      <c r="H147" s="218" t="s">
        <v>778</v>
      </c>
      <c r="I147" s="211" t="s">
        <v>2724</v>
      </c>
      <c r="J147" s="212" t="s">
        <v>638</v>
      </c>
      <c r="K147" s="211" t="s">
        <v>527</v>
      </c>
      <c r="L147" s="211" t="s">
        <v>797</v>
      </c>
    </row>
    <row r="148" spans="1:12" s="211" customFormat="1" x14ac:dyDescent="0.25">
      <c r="A148" s="211" t="s">
        <v>117</v>
      </c>
      <c r="B148" s="211">
        <v>418</v>
      </c>
      <c r="C148" s="211" t="s">
        <v>256</v>
      </c>
      <c r="D148" s="211">
        <v>504044522</v>
      </c>
      <c r="E148" s="218">
        <v>1060</v>
      </c>
      <c r="F148" s="211">
        <v>1242</v>
      </c>
      <c r="G148" s="211">
        <v>1004</v>
      </c>
      <c r="H148" s="218" t="s">
        <v>778</v>
      </c>
      <c r="I148" s="211" t="s">
        <v>3169</v>
      </c>
      <c r="J148" s="212" t="s">
        <v>638</v>
      </c>
      <c r="K148" s="211" t="s">
        <v>527</v>
      </c>
      <c r="L148" s="211" t="s">
        <v>797</v>
      </c>
    </row>
    <row r="149" spans="1:12" s="211" customFormat="1" x14ac:dyDescent="0.25">
      <c r="A149" s="211" t="s">
        <v>117</v>
      </c>
      <c r="B149" s="211">
        <v>418</v>
      </c>
      <c r="C149" s="211" t="s">
        <v>256</v>
      </c>
      <c r="D149" s="211">
        <v>504044771</v>
      </c>
      <c r="E149" s="218">
        <v>1060</v>
      </c>
      <c r="F149" s="211">
        <v>1242</v>
      </c>
      <c r="G149" s="211">
        <v>1004</v>
      </c>
      <c r="H149" s="218" t="s">
        <v>778</v>
      </c>
      <c r="I149" s="211" t="s">
        <v>3170</v>
      </c>
      <c r="J149" s="212" t="s">
        <v>638</v>
      </c>
      <c r="K149" s="211" t="s">
        <v>527</v>
      </c>
      <c r="L149" s="211" t="s">
        <v>797</v>
      </c>
    </row>
    <row r="150" spans="1:12" s="211" customFormat="1" x14ac:dyDescent="0.25">
      <c r="A150" s="211" t="s">
        <v>117</v>
      </c>
      <c r="B150" s="211">
        <v>424</v>
      </c>
      <c r="C150" s="211" t="s">
        <v>261</v>
      </c>
      <c r="D150" s="211">
        <v>191965826</v>
      </c>
      <c r="E150" s="218">
        <v>1060</v>
      </c>
      <c r="F150" s="211">
        <v>1252</v>
      </c>
      <c r="G150" s="211">
        <v>1004</v>
      </c>
      <c r="H150" s="218" t="s">
        <v>778</v>
      </c>
      <c r="I150" s="211" t="s">
        <v>2725</v>
      </c>
      <c r="J150" s="212" t="s">
        <v>638</v>
      </c>
      <c r="K150" s="211" t="s">
        <v>527</v>
      </c>
      <c r="L150" s="211" t="s">
        <v>797</v>
      </c>
    </row>
    <row r="151" spans="1:12" s="211" customFormat="1" x14ac:dyDescent="0.25">
      <c r="A151" s="211" t="s">
        <v>117</v>
      </c>
      <c r="B151" s="211">
        <v>438</v>
      </c>
      <c r="C151" s="211" t="s">
        <v>268</v>
      </c>
      <c r="D151" s="211">
        <v>191968771</v>
      </c>
      <c r="E151" s="218">
        <v>1060</v>
      </c>
      <c r="F151" s="211">
        <v>1274</v>
      </c>
      <c r="G151" s="211">
        <v>1004</v>
      </c>
      <c r="H151" s="218" t="s">
        <v>778</v>
      </c>
      <c r="I151" s="211" t="s">
        <v>3243</v>
      </c>
      <c r="J151" s="212" t="s">
        <v>638</v>
      </c>
      <c r="K151" s="211" t="s">
        <v>527</v>
      </c>
      <c r="L151" s="211" t="s">
        <v>797</v>
      </c>
    </row>
    <row r="152" spans="1:12" s="211" customFormat="1" x14ac:dyDescent="0.25">
      <c r="A152" s="211" t="s">
        <v>117</v>
      </c>
      <c r="B152" s="211">
        <v>448</v>
      </c>
      <c r="C152" s="211" t="s">
        <v>275</v>
      </c>
      <c r="D152" s="211">
        <v>192048121</v>
      </c>
      <c r="E152" s="218">
        <v>1060</v>
      </c>
      <c r="F152" s="211">
        <v>1242</v>
      </c>
      <c r="G152" s="211">
        <v>1004</v>
      </c>
      <c r="H152" s="218" t="s">
        <v>778</v>
      </c>
      <c r="I152" s="211" t="s">
        <v>3392</v>
      </c>
      <c r="J152" s="212" t="s">
        <v>638</v>
      </c>
      <c r="K152" s="211" t="s">
        <v>527</v>
      </c>
      <c r="L152" s="211" t="s">
        <v>797</v>
      </c>
    </row>
    <row r="153" spans="1:12" s="211" customFormat="1" x14ac:dyDescent="0.25">
      <c r="A153" s="211" t="s">
        <v>117</v>
      </c>
      <c r="B153" s="211">
        <v>448</v>
      </c>
      <c r="C153" s="211" t="s">
        <v>275</v>
      </c>
      <c r="D153" s="211">
        <v>192048176</v>
      </c>
      <c r="E153" s="218">
        <v>1060</v>
      </c>
      <c r="F153" s="211">
        <v>1242</v>
      </c>
      <c r="G153" s="211">
        <v>1004</v>
      </c>
      <c r="H153" s="218" t="s">
        <v>778</v>
      </c>
      <c r="I153" s="211" t="s">
        <v>3393</v>
      </c>
      <c r="J153" s="212" t="s">
        <v>638</v>
      </c>
      <c r="K153" s="211" t="s">
        <v>527</v>
      </c>
      <c r="L153" s="211" t="s">
        <v>797</v>
      </c>
    </row>
    <row r="154" spans="1:12" s="211" customFormat="1" x14ac:dyDescent="0.25">
      <c r="A154" s="211" t="s">
        <v>117</v>
      </c>
      <c r="B154" s="211">
        <v>496</v>
      </c>
      <c r="C154" s="211" t="s">
        <v>283</v>
      </c>
      <c r="D154" s="211">
        <v>191965511</v>
      </c>
      <c r="E154" s="218">
        <v>1060</v>
      </c>
      <c r="F154" s="211">
        <v>1242</v>
      </c>
      <c r="G154" s="211">
        <v>1004</v>
      </c>
      <c r="H154" s="218" t="s">
        <v>778</v>
      </c>
      <c r="I154" s="211" t="s">
        <v>3805</v>
      </c>
      <c r="J154" s="212" t="s">
        <v>638</v>
      </c>
      <c r="K154" s="211" t="s">
        <v>527</v>
      </c>
      <c r="L154" s="211" t="s">
        <v>797</v>
      </c>
    </row>
    <row r="155" spans="1:12" s="211" customFormat="1" x14ac:dyDescent="0.25">
      <c r="A155" s="211" t="s">
        <v>117</v>
      </c>
      <c r="B155" s="211">
        <v>496</v>
      </c>
      <c r="C155" s="211" t="s">
        <v>283</v>
      </c>
      <c r="D155" s="211">
        <v>191999964</v>
      </c>
      <c r="E155" s="218">
        <v>1060</v>
      </c>
      <c r="F155" s="211">
        <v>1242</v>
      </c>
      <c r="G155" s="211">
        <v>1004</v>
      </c>
      <c r="H155" s="218" t="s">
        <v>778</v>
      </c>
      <c r="I155" s="211" t="s">
        <v>3806</v>
      </c>
      <c r="J155" s="212" t="s">
        <v>638</v>
      </c>
      <c r="K155" s="211" t="s">
        <v>527</v>
      </c>
      <c r="L155" s="211" t="s">
        <v>797</v>
      </c>
    </row>
    <row r="156" spans="1:12" s="211" customFormat="1" x14ac:dyDescent="0.25">
      <c r="A156" s="211" t="s">
        <v>117</v>
      </c>
      <c r="B156" s="211">
        <v>496</v>
      </c>
      <c r="C156" s="211" t="s">
        <v>283</v>
      </c>
      <c r="D156" s="211">
        <v>192015865</v>
      </c>
      <c r="E156" s="218">
        <v>1060</v>
      </c>
      <c r="F156" s="211">
        <v>1242</v>
      </c>
      <c r="G156" s="211">
        <v>1004</v>
      </c>
      <c r="H156" s="218" t="s">
        <v>778</v>
      </c>
      <c r="I156" s="211" t="s">
        <v>3807</v>
      </c>
      <c r="J156" s="212" t="s">
        <v>638</v>
      </c>
      <c r="K156" s="211" t="s">
        <v>527</v>
      </c>
      <c r="L156" s="211" t="s">
        <v>797</v>
      </c>
    </row>
    <row r="157" spans="1:12" s="211" customFormat="1" x14ac:dyDescent="0.25">
      <c r="A157" s="211" t="s">
        <v>117</v>
      </c>
      <c r="B157" s="211">
        <v>498</v>
      </c>
      <c r="C157" s="211" t="s">
        <v>285</v>
      </c>
      <c r="D157" s="211">
        <v>191936915</v>
      </c>
      <c r="E157" s="218">
        <v>1010</v>
      </c>
      <c r="F157" s="211">
        <v>1271</v>
      </c>
      <c r="G157" s="211">
        <v>1004</v>
      </c>
      <c r="H157" s="218" t="s">
        <v>525</v>
      </c>
      <c r="I157" s="211" t="s">
        <v>2684</v>
      </c>
      <c r="J157" s="212" t="s">
        <v>638</v>
      </c>
      <c r="K157" s="211" t="s">
        <v>748</v>
      </c>
      <c r="L157" s="211" t="s">
        <v>2705</v>
      </c>
    </row>
    <row r="158" spans="1:12" s="211" customFormat="1" x14ac:dyDescent="0.25">
      <c r="A158" s="211" t="s">
        <v>117</v>
      </c>
      <c r="B158" s="211">
        <v>498</v>
      </c>
      <c r="C158" s="211" t="s">
        <v>285</v>
      </c>
      <c r="D158" s="211">
        <v>192052056</v>
      </c>
      <c r="E158" s="218">
        <v>1060</v>
      </c>
      <c r="F158" s="211">
        <v>1242</v>
      </c>
      <c r="G158" s="211">
        <v>1004</v>
      </c>
      <c r="H158" s="218" t="s">
        <v>778</v>
      </c>
      <c r="I158" s="211" t="s">
        <v>3808</v>
      </c>
      <c r="J158" s="212" t="s">
        <v>638</v>
      </c>
      <c r="K158" s="211" t="s">
        <v>527</v>
      </c>
      <c r="L158" s="211" t="s">
        <v>797</v>
      </c>
    </row>
    <row r="159" spans="1:12" s="211" customFormat="1" x14ac:dyDescent="0.25">
      <c r="A159" s="211" t="s">
        <v>117</v>
      </c>
      <c r="B159" s="211">
        <v>499</v>
      </c>
      <c r="C159" s="211" t="s">
        <v>286</v>
      </c>
      <c r="D159" s="211">
        <v>191985503</v>
      </c>
      <c r="E159" s="218">
        <v>1080</v>
      </c>
      <c r="F159" s="211">
        <v>1242</v>
      </c>
      <c r="G159" s="211">
        <v>1004</v>
      </c>
      <c r="H159" s="218" t="s">
        <v>525</v>
      </c>
      <c r="I159" s="211" t="s">
        <v>3394</v>
      </c>
      <c r="J159" s="212" t="s">
        <v>638</v>
      </c>
      <c r="K159" s="211" t="s">
        <v>527</v>
      </c>
      <c r="L159" s="211" t="s">
        <v>798</v>
      </c>
    </row>
    <row r="160" spans="1:12" s="211" customFormat="1" x14ac:dyDescent="0.25">
      <c r="A160" s="211" t="s">
        <v>117</v>
      </c>
      <c r="B160" s="211">
        <v>500</v>
      </c>
      <c r="C160" s="211" t="s">
        <v>287</v>
      </c>
      <c r="D160" s="211">
        <v>192028539</v>
      </c>
      <c r="E160" s="218">
        <v>1060</v>
      </c>
      <c r="F160" s="211">
        <v>1242</v>
      </c>
      <c r="G160" s="211">
        <v>1004</v>
      </c>
      <c r="H160" s="218" t="s">
        <v>778</v>
      </c>
      <c r="I160" s="211" t="s">
        <v>3395</v>
      </c>
      <c r="J160" s="212" t="s">
        <v>638</v>
      </c>
      <c r="K160" s="211" t="s">
        <v>527</v>
      </c>
      <c r="L160" s="211" t="s">
        <v>797</v>
      </c>
    </row>
    <row r="161" spans="1:12" s="211" customFormat="1" x14ac:dyDescent="0.25">
      <c r="A161" s="211" t="s">
        <v>117</v>
      </c>
      <c r="B161" s="211">
        <v>538</v>
      </c>
      <c r="C161" s="211" t="s">
        <v>292</v>
      </c>
      <c r="D161" s="211">
        <v>192023461</v>
      </c>
      <c r="E161" s="218">
        <v>1060</v>
      </c>
      <c r="F161" s="211">
        <v>1130</v>
      </c>
      <c r="G161" s="211">
        <v>1004</v>
      </c>
      <c r="H161" s="218" t="s">
        <v>778</v>
      </c>
      <c r="I161" s="211" t="s">
        <v>3312</v>
      </c>
      <c r="J161" s="212" t="s">
        <v>638</v>
      </c>
      <c r="K161" s="211" t="s">
        <v>527</v>
      </c>
      <c r="L161" s="211" t="s">
        <v>797</v>
      </c>
    </row>
    <row r="162" spans="1:12" s="211" customFormat="1" x14ac:dyDescent="0.25">
      <c r="A162" s="211" t="s">
        <v>117</v>
      </c>
      <c r="B162" s="211">
        <v>538</v>
      </c>
      <c r="C162" s="211" t="s">
        <v>292</v>
      </c>
      <c r="D162" s="211">
        <v>192037271</v>
      </c>
      <c r="E162" s="218">
        <v>1060</v>
      </c>
      <c r="F162" s="211">
        <v>1271</v>
      </c>
      <c r="G162" s="211">
        <v>1004</v>
      </c>
      <c r="H162" s="218" t="s">
        <v>778</v>
      </c>
      <c r="I162" s="211" t="s">
        <v>2810</v>
      </c>
      <c r="J162" s="212" t="s">
        <v>638</v>
      </c>
      <c r="K162" s="211" t="s">
        <v>527</v>
      </c>
      <c r="L162" s="211" t="s">
        <v>797</v>
      </c>
    </row>
    <row r="163" spans="1:12" s="211" customFormat="1" x14ac:dyDescent="0.25">
      <c r="A163" s="211" t="s">
        <v>117</v>
      </c>
      <c r="B163" s="211">
        <v>538</v>
      </c>
      <c r="C163" s="211" t="s">
        <v>292</v>
      </c>
      <c r="D163" s="211">
        <v>192039745</v>
      </c>
      <c r="E163" s="218">
        <v>1060</v>
      </c>
      <c r="G163" s="211">
        <v>1004</v>
      </c>
      <c r="H163" s="218" t="s">
        <v>778</v>
      </c>
      <c r="I163" s="211" t="s">
        <v>2811</v>
      </c>
      <c r="J163" s="212" t="s">
        <v>638</v>
      </c>
      <c r="K163" s="211" t="s">
        <v>527</v>
      </c>
      <c r="L163" s="211" t="s">
        <v>797</v>
      </c>
    </row>
    <row r="164" spans="1:12" s="211" customFormat="1" x14ac:dyDescent="0.25">
      <c r="A164" s="211" t="s">
        <v>117</v>
      </c>
      <c r="B164" s="211">
        <v>538</v>
      </c>
      <c r="C164" s="211" t="s">
        <v>292</v>
      </c>
      <c r="D164" s="211">
        <v>192039746</v>
      </c>
      <c r="E164" s="218">
        <v>1060</v>
      </c>
      <c r="G164" s="211">
        <v>1004</v>
      </c>
      <c r="H164" s="218" t="s">
        <v>778</v>
      </c>
      <c r="I164" s="211" t="s">
        <v>2860</v>
      </c>
      <c r="J164" s="212" t="s">
        <v>638</v>
      </c>
      <c r="K164" s="211" t="s">
        <v>527</v>
      </c>
      <c r="L164" s="211" t="s">
        <v>797</v>
      </c>
    </row>
    <row r="165" spans="1:12" s="211" customFormat="1" x14ac:dyDescent="0.25">
      <c r="A165" s="211" t="s">
        <v>117</v>
      </c>
      <c r="B165" s="211">
        <v>538</v>
      </c>
      <c r="C165" s="211" t="s">
        <v>292</v>
      </c>
      <c r="D165" s="211">
        <v>192039749</v>
      </c>
      <c r="E165" s="218">
        <v>1060</v>
      </c>
      <c r="G165" s="211">
        <v>1004</v>
      </c>
      <c r="H165" s="218" t="s">
        <v>778</v>
      </c>
      <c r="I165" s="211" t="s">
        <v>2726</v>
      </c>
      <c r="J165" s="212" t="s">
        <v>638</v>
      </c>
      <c r="K165" s="211" t="s">
        <v>527</v>
      </c>
      <c r="L165" s="211" t="s">
        <v>797</v>
      </c>
    </row>
    <row r="166" spans="1:12" s="211" customFormat="1" x14ac:dyDescent="0.25">
      <c r="A166" s="211" t="s">
        <v>117</v>
      </c>
      <c r="B166" s="211">
        <v>538</v>
      </c>
      <c r="C166" s="211" t="s">
        <v>292</v>
      </c>
      <c r="D166" s="211">
        <v>192041027</v>
      </c>
      <c r="E166" s="218">
        <v>1060</v>
      </c>
      <c r="F166" s="211">
        <v>1242</v>
      </c>
      <c r="G166" s="211">
        <v>1004</v>
      </c>
      <c r="H166" s="218" t="s">
        <v>778</v>
      </c>
      <c r="I166" s="211" t="s">
        <v>2861</v>
      </c>
      <c r="J166" s="212" t="s">
        <v>638</v>
      </c>
      <c r="K166" s="211" t="s">
        <v>527</v>
      </c>
      <c r="L166" s="211" t="s">
        <v>797</v>
      </c>
    </row>
    <row r="167" spans="1:12" s="211" customFormat="1" x14ac:dyDescent="0.25">
      <c r="A167" s="211" t="s">
        <v>117</v>
      </c>
      <c r="B167" s="211">
        <v>538</v>
      </c>
      <c r="C167" s="211" t="s">
        <v>292</v>
      </c>
      <c r="D167" s="211">
        <v>502122416</v>
      </c>
      <c r="E167" s="218">
        <v>1060</v>
      </c>
      <c r="F167" s="211">
        <v>1242</v>
      </c>
      <c r="G167" s="211">
        <v>1004</v>
      </c>
      <c r="H167" s="218" t="s">
        <v>778</v>
      </c>
      <c r="I167" s="211" t="s">
        <v>3313</v>
      </c>
      <c r="J167" s="212" t="s">
        <v>638</v>
      </c>
      <c r="K167" s="211" t="s">
        <v>527</v>
      </c>
      <c r="L167" s="211" t="s">
        <v>797</v>
      </c>
    </row>
    <row r="168" spans="1:12" s="211" customFormat="1" x14ac:dyDescent="0.25">
      <c r="A168" s="211" t="s">
        <v>117</v>
      </c>
      <c r="B168" s="211">
        <v>538</v>
      </c>
      <c r="C168" s="211" t="s">
        <v>292</v>
      </c>
      <c r="D168" s="211">
        <v>502122673</v>
      </c>
      <c r="E168" s="218">
        <v>1060</v>
      </c>
      <c r="F168" s="211">
        <v>1271</v>
      </c>
      <c r="G168" s="211">
        <v>1004</v>
      </c>
      <c r="H168" s="218" t="s">
        <v>778</v>
      </c>
      <c r="I168" s="211" t="s">
        <v>3396</v>
      </c>
      <c r="J168" s="212" t="s">
        <v>638</v>
      </c>
      <c r="K168" s="211" t="s">
        <v>527</v>
      </c>
      <c r="L168" s="211" t="s">
        <v>797</v>
      </c>
    </row>
    <row r="169" spans="1:12" s="211" customFormat="1" x14ac:dyDescent="0.25">
      <c r="A169" s="211" t="s">
        <v>117</v>
      </c>
      <c r="B169" s="211">
        <v>538</v>
      </c>
      <c r="C169" s="211" t="s">
        <v>292</v>
      </c>
      <c r="D169" s="211">
        <v>502123219</v>
      </c>
      <c r="E169" s="218">
        <v>1060</v>
      </c>
      <c r="F169" s="211">
        <v>1271</v>
      </c>
      <c r="G169" s="211">
        <v>1004</v>
      </c>
      <c r="H169" s="218" t="s">
        <v>778</v>
      </c>
      <c r="I169" s="211" t="s">
        <v>3397</v>
      </c>
      <c r="J169" s="212" t="s">
        <v>638</v>
      </c>
      <c r="K169" s="211" t="s">
        <v>527</v>
      </c>
      <c r="L169" s="211" t="s">
        <v>797</v>
      </c>
    </row>
    <row r="170" spans="1:12" s="211" customFormat="1" x14ac:dyDescent="0.25">
      <c r="A170" s="211" t="s">
        <v>117</v>
      </c>
      <c r="B170" s="211">
        <v>540</v>
      </c>
      <c r="C170" s="211" t="s">
        <v>293</v>
      </c>
      <c r="D170" s="211">
        <v>192041653</v>
      </c>
      <c r="E170" s="218">
        <v>1060</v>
      </c>
      <c r="F170" s="211">
        <v>1242</v>
      </c>
      <c r="G170" s="211">
        <v>1004</v>
      </c>
      <c r="H170" s="218" t="s">
        <v>778</v>
      </c>
      <c r="I170" s="211" t="s">
        <v>3071</v>
      </c>
      <c r="J170" s="212" t="s">
        <v>638</v>
      </c>
      <c r="K170" s="211" t="s">
        <v>527</v>
      </c>
      <c r="L170" s="211" t="s">
        <v>797</v>
      </c>
    </row>
    <row r="171" spans="1:12" s="211" customFormat="1" x14ac:dyDescent="0.25">
      <c r="A171" s="211" t="s">
        <v>117</v>
      </c>
      <c r="B171" s="211">
        <v>552</v>
      </c>
      <c r="C171" s="211" t="s">
        <v>299</v>
      </c>
      <c r="D171" s="211">
        <v>191986763</v>
      </c>
      <c r="E171" s="218">
        <v>1060</v>
      </c>
      <c r="F171" s="211">
        <v>1242</v>
      </c>
      <c r="G171" s="211">
        <v>1004</v>
      </c>
      <c r="H171" s="218" t="s">
        <v>778</v>
      </c>
      <c r="I171" s="211" t="s">
        <v>2137</v>
      </c>
      <c r="J171" s="212" t="s">
        <v>638</v>
      </c>
      <c r="K171" s="211" t="s">
        <v>527</v>
      </c>
      <c r="L171" s="211" t="s">
        <v>797</v>
      </c>
    </row>
    <row r="172" spans="1:12" s="211" customFormat="1" x14ac:dyDescent="0.25">
      <c r="A172" s="211" t="s">
        <v>117</v>
      </c>
      <c r="B172" s="211">
        <v>553</v>
      </c>
      <c r="C172" s="211" t="s">
        <v>300</v>
      </c>
      <c r="D172" s="211">
        <v>192004558</v>
      </c>
      <c r="E172" s="218">
        <v>1060</v>
      </c>
      <c r="F172" s="211">
        <v>1271</v>
      </c>
      <c r="G172" s="211">
        <v>1004</v>
      </c>
      <c r="H172" s="218" t="s">
        <v>778</v>
      </c>
      <c r="I172" s="211" t="s">
        <v>3072</v>
      </c>
      <c r="J172" s="212" t="s">
        <v>638</v>
      </c>
      <c r="K172" s="211" t="s">
        <v>527</v>
      </c>
      <c r="L172" s="211" t="s">
        <v>797</v>
      </c>
    </row>
    <row r="173" spans="1:12" s="211" customFormat="1" x14ac:dyDescent="0.25">
      <c r="A173" s="211" t="s">
        <v>117</v>
      </c>
      <c r="B173" s="211">
        <v>562</v>
      </c>
      <c r="C173" s="211" t="s">
        <v>305</v>
      </c>
      <c r="D173" s="211">
        <v>502210605</v>
      </c>
      <c r="E173" s="218">
        <v>1060</v>
      </c>
      <c r="G173" s="211">
        <v>1004</v>
      </c>
      <c r="H173" s="218" t="s">
        <v>778</v>
      </c>
      <c r="I173" s="211" t="s">
        <v>2764</v>
      </c>
      <c r="J173" s="212" t="s">
        <v>638</v>
      </c>
      <c r="K173" s="211" t="s">
        <v>527</v>
      </c>
      <c r="L173" s="211" t="s">
        <v>797</v>
      </c>
    </row>
    <row r="174" spans="1:12" s="211" customFormat="1" x14ac:dyDescent="0.25">
      <c r="A174" s="211" t="s">
        <v>117</v>
      </c>
      <c r="B174" s="211">
        <v>565</v>
      </c>
      <c r="C174" s="211" t="s">
        <v>308</v>
      </c>
      <c r="D174" s="211">
        <v>191470471</v>
      </c>
      <c r="E174" s="218">
        <v>1010</v>
      </c>
      <c r="G174" s="211">
        <v>1004</v>
      </c>
      <c r="H174" s="218" t="s">
        <v>525</v>
      </c>
      <c r="I174" s="211" t="s">
        <v>767</v>
      </c>
      <c r="J174" s="212" t="s">
        <v>638</v>
      </c>
      <c r="K174" s="211" t="s">
        <v>748</v>
      </c>
      <c r="L174" s="211" t="s">
        <v>782</v>
      </c>
    </row>
    <row r="175" spans="1:12" s="211" customFormat="1" x14ac:dyDescent="0.25">
      <c r="A175" s="211" t="s">
        <v>117</v>
      </c>
      <c r="B175" s="211">
        <v>571</v>
      </c>
      <c r="C175" s="211" t="s">
        <v>311</v>
      </c>
      <c r="D175" s="211">
        <v>192040788</v>
      </c>
      <c r="E175" s="218">
        <v>1080</v>
      </c>
      <c r="F175" s="211">
        <v>1252</v>
      </c>
      <c r="G175" s="211">
        <v>1004</v>
      </c>
      <c r="H175" s="218" t="s">
        <v>525</v>
      </c>
      <c r="I175" s="211" t="s">
        <v>2765</v>
      </c>
      <c r="J175" s="212" t="s">
        <v>638</v>
      </c>
      <c r="K175" s="211" t="s">
        <v>527</v>
      </c>
      <c r="L175" s="211" t="s">
        <v>798</v>
      </c>
    </row>
    <row r="176" spans="1:12" s="211" customFormat="1" x14ac:dyDescent="0.25">
      <c r="A176" s="211" t="s">
        <v>117</v>
      </c>
      <c r="B176" s="211">
        <v>571</v>
      </c>
      <c r="C176" s="211" t="s">
        <v>311</v>
      </c>
      <c r="D176" s="211">
        <v>192040789</v>
      </c>
      <c r="E176" s="218">
        <v>1080</v>
      </c>
      <c r="F176" s="211">
        <v>1252</v>
      </c>
      <c r="G176" s="211">
        <v>1004</v>
      </c>
      <c r="H176" s="218" t="s">
        <v>525</v>
      </c>
      <c r="I176" s="211" t="s">
        <v>2766</v>
      </c>
      <c r="J176" s="212" t="s">
        <v>638</v>
      </c>
      <c r="K176" s="211" t="s">
        <v>527</v>
      </c>
      <c r="L176" s="211" t="s">
        <v>798</v>
      </c>
    </row>
    <row r="177" spans="1:12" s="211" customFormat="1" x14ac:dyDescent="0.25">
      <c r="A177" s="211" t="s">
        <v>117</v>
      </c>
      <c r="B177" s="211">
        <v>573</v>
      </c>
      <c r="C177" s="211" t="s">
        <v>313</v>
      </c>
      <c r="D177" s="211">
        <v>400081455</v>
      </c>
      <c r="E177" s="218">
        <v>1060</v>
      </c>
      <c r="F177" s="211">
        <v>1274</v>
      </c>
      <c r="G177" s="211">
        <v>1004</v>
      </c>
      <c r="H177" s="218" t="s">
        <v>778</v>
      </c>
      <c r="I177" s="211" t="s">
        <v>2901</v>
      </c>
      <c r="J177" s="212" t="s">
        <v>638</v>
      </c>
      <c r="K177" s="211" t="s">
        <v>527</v>
      </c>
      <c r="L177" s="211" t="s">
        <v>797</v>
      </c>
    </row>
    <row r="178" spans="1:12" s="211" customFormat="1" x14ac:dyDescent="0.25">
      <c r="A178" s="211" t="s">
        <v>117</v>
      </c>
      <c r="B178" s="211">
        <v>581</v>
      </c>
      <c r="C178" s="211" t="s">
        <v>321</v>
      </c>
      <c r="D178" s="211">
        <v>192041457</v>
      </c>
      <c r="E178" s="218">
        <v>1060</v>
      </c>
      <c r="F178" s="211">
        <v>1274</v>
      </c>
      <c r="G178" s="211">
        <v>1004</v>
      </c>
      <c r="H178" s="218" t="s">
        <v>778</v>
      </c>
      <c r="I178" s="211" t="s">
        <v>2767</v>
      </c>
      <c r="J178" s="212" t="s">
        <v>638</v>
      </c>
      <c r="K178" s="211" t="s">
        <v>527</v>
      </c>
      <c r="L178" s="211" t="s">
        <v>797</v>
      </c>
    </row>
    <row r="179" spans="1:12" s="211" customFormat="1" x14ac:dyDescent="0.25">
      <c r="A179" s="211" t="s">
        <v>117</v>
      </c>
      <c r="B179" s="211">
        <v>581</v>
      </c>
      <c r="C179" s="211" t="s">
        <v>321</v>
      </c>
      <c r="D179" s="211">
        <v>504002722</v>
      </c>
      <c r="E179" s="218">
        <v>1040</v>
      </c>
      <c r="F179" s="211">
        <v>1212</v>
      </c>
      <c r="G179" s="211">
        <v>1004</v>
      </c>
      <c r="H179" s="218" t="s">
        <v>778</v>
      </c>
      <c r="I179" s="211" t="s">
        <v>2079</v>
      </c>
      <c r="J179" s="212" t="s">
        <v>638</v>
      </c>
      <c r="K179" s="211" t="s">
        <v>527</v>
      </c>
      <c r="L179" s="211" t="s">
        <v>796</v>
      </c>
    </row>
    <row r="180" spans="1:12" s="211" customFormat="1" x14ac:dyDescent="0.25">
      <c r="A180" s="211" t="s">
        <v>117</v>
      </c>
      <c r="B180" s="211">
        <v>587</v>
      </c>
      <c r="C180" s="211" t="s">
        <v>326</v>
      </c>
      <c r="D180" s="211">
        <v>191894988</v>
      </c>
      <c r="E180" s="218">
        <v>1060</v>
      </c>
      <c r="F180" s="211">
        <v>1242</v>
      </c>
      <c r="G180" s="211">
        <v>1004</v>
      </c>
      <c r="H180" s="218" t="s">
        <v>778</v>
      </c>
      <c r="I180" s="211" t="s">
        <v>2812</v>
      </c>
      <c r="J180" s="212" t="s">
        <v>638</v>
      </c>
      <c r="K180" s="211" t="s">
        <v>527</v>
      </c>
      <c r="L180" s="211" t="s">
        <v>797</v>
      </c>
    </row>
    <row r="181" spans="1:12" s="211" customFormat="1" x14ac:dyDescent="0.25">
      <c r="A181" s="211" t="s">
        <v>117</v>
      </c>
      <c r="B181" s="211">
        <v>587</v>
      </c>
      <c r="C181" s="211" t="s">
        <v>326</v>
      </c>
      <c r="D181" s="211">
        <v>191972121</v>
      </c>
      <c r="E181" s="218">
        <v>1060</v>
      </c>
      <c r="F181" s="211">
        <v>1242</v>
      </c>
      <c r="G181" s="211">
        <v>1004</v>
      </c>
      <c r="H181" s="218" t="s">
        <v>778</v>
      </c>
      <c r="I181" s="211" t="s">
        <v>2624</v>
      </c>
      <c r="J181" s="212" t="s">
        <v>638</v>
      </c>
      <c r="K181" s="211" t="s">
        <v>527</v>
      </c>
      <c r="L181" s="211" t="s">
        <v>797</v>
      </c>
    </row>
    <row r="182" spans="1:12" s="211" customFormat="1" x14ac:dyDescent="0.25">
      <c r="A182" s="211" t="s">
        <v>117</v>
      </c>
      <c r="B182" s="211">
        <v>594</v>
      </c>
      <c r="C182" s="211" t="s">
        <v>333</v>
      </c>
      <c r="D182" s="211">
        <v>191964196</v>
      </c>
      <c r="E182" s="218">
        <v>1060</v>
      </c>
      <c r="F182" s="211">
        <v>1271</v>
      </c>
      <c r="G182" s="211">
        <v>1007</v>
      </c>
      <c r="H182" s="218" t="s">
        <v>778</v>
      </c>
      <c r="I182" s="211" t="s">
        <v>768</v>
      </c>
      <c r="J182" s="212" t="s">
        <v>638</v>
      </c>
      <c r="K182" s="211" t="s">
        <v>527</v>
      </c>
      <c r="L182" s="211" t="s">
        <v>800</v>
      </c>
    </row>
    <row r="183" spans="1:12" s="211" customFormat="1" x14ac:dyDescent="0.25">
      <c r="A183" s="211" t="s">
        <v>117</v>
      </c>
      <c r="B183" s="211">
        <v>594</v>
      </c>
      <c r="C183" s="211" t="s">
        <v>333</v>
      </c>
      <c r="D183" s="211">
        <v>192006610</v>
      </c>
      <c r="E183" s="218">
        <v>1060</v>
      </c>
      <c r="F183" s="211">
        <v>1241</v>
      </c>
      <c r="G183" s="211">
        <v>1004</v>
      </c>
      <c r="H183" s="218" t="s">
        <v>778</v>
      </c>
      <c r="I183" s="211" t="s">
        <v>2862</v>
      </c>
      <c r="J183" s="212" t="s">
        <v>638</v>
      </c>
      <c r="K183" s="211" t="s">
        <v>527</v>
      </c>
      <c r="L183" s="211" t="s">
        <v>797</v>
      </c>
    </row>
    <row r="184" spans="1:12" s="211" customFormat="1" x14ac:dyDescent="0.25">
      <c r="A184" s="211" t="s">
        <v>117</v>
      </c>
      <c r="B184" s="211">
        <v>603</v>
      </c>
      <c r="C184" s="211" t="s">
        <v>335</v>
      </c>
      <c r="D184" s="211">
        <v>190686749</v>
      </c>
      <c r="E184" s="218">
        <v>1010</v>
      </c>
      <c r="G184" s="211">
        <v>1004</v>
      </c>
      <c r="H184" s="218" t="s">
        <v>525</v>
      </c>
      <c r="I184" s="211" t="s">
        <v>769</v>
      </c>
      <c r="J184" s="212" t="s">
        <v>638</v>
      </c>
      <c r="K184" s="211" t="s">
        <v>748</v>
      </c>
      <c r="L184" s="211" t="s">
        <v>783</v>
      </c>
    </row>
    <row r="185" spans="1:12" s="211" customFormat="1" x14ac:dyDescent="0.25">
      <c r="A185" s="211" t="s">
        <v>117</v>
      </c>
      <c r="B185" s="211">
        <v>603</v>
      </c>
      <c r="C185" s="211" t="s">
        <v>335</v>
      </c>
      <c r="D185" s="211">
        <v>191894362</v>
      </c>
      <c r="E185" s="218">
        <v>1060</v>
      </c>
      <c r="F185" s="211">
        <v>1242</v>
      </c>
      <c r="G185" s="211">
        <v>1004</v>
      </c>
      <c r="H185" s="218" t="s">
        <v>778</v>
      </c>
      <c r="I185" s="211" t="s">
        <v>2960</v>
      </c>
      <c r="J185" s="212" t="s">
        <v>638</v>
      </c>
      <c r="K185" s="211" t="s">
        <v>527</v>
      </c>
      <c r="L185" s="211" t="s">
        <v>797</v>
      </c>
    </row>
    <row r="186" spans="1:12" s="211" customFormat="1" x14ac:dyDescent="0.25">
      <c r="A186" s="211" t="s">
        <v>117</v>
      </c>
      <c r="B186" s="211">
        <v>616</v>
      </c>
      <c r="C186" s="211" t="s">
        <v>347</v>
      </c>
      <c r="D186" s="211">
        <v>191677796</v>
      </c>
      <c r="E186" s="218">
        <v>1060</v>
      </c>
      <c r="F186" s="211">
        <v>1251</v>
      </c>
      <c r="G186" s="211">
        <v>1004</v>
      </c>
      <c r="H186" s="218" t="s">
        <v>778</v>
      </c>
      <c r="I186" s="211" t="s">
        <v>2863</v>
      </c>
      <c r="J186" s="212" t="s">
        <v>638</v>
      </c>
      <c r="K186" s="211" t="s">
        <v>527</v>
      </c>
      <c r="L186" s="211" t="s">
        <v>797</v>
      </c>
    </row>
    <row r="187" spans="1:12" s="211" customFormat="1" x14ac:dyDescent="0.25">
      <c r="A187" s="211" t="s">
        <v>117</v>
      </c>
      <c r="B187" s="211">
        <v>616</v>
      </c>
      <c r="C187" s="211" t="s">
        <v>347</v>
      </c>
      <c r="D187" s="211">
        <v>192042937</v>
      </c>
      <c r="E187" s="218">
        <v>1060</v>
      </c>
      <c r="F187" s="211">
        <v>1265</v>
      </c>
      <c r="G187" s="211">
        <v>1004</v>
      </c>
      <c r="H187" s="218" t="s">
        <v>778</v>
      </c>
      <c r="I187" s="211" t="s">
        <v>2902</v>
      </c>
      <c r="J187" s="212" t="s">
        <v>638</v>
      </c>
      <c r="K187" s="211" t="s">
        <v>527</v>
      </c>
      <c r="L187" s="211" t="s">
        <v>797</v>
      </c>
    </row>
    <row r="188" spans="1:12" s="211" customFormat="1" x14ac:dyDescent="0.25">
      <c r="A188" s="211" t="s">
        <v>117</v>
      </c>
      <c r="B188" s="211">
        <v>616</v>
      </c>
      <c r="C188" s="211" t="s">
        <v>347</v>
      </c>
      <c r="D188" s="211">
        <v>192042945</v>
      </c>
      <c r="E188" s="218">
        <v>1060</v>
      </c>
      <c r="F188" s="211">
        <v>1242</v>
      </c>
      <c r="G188" s="211">
        <v>1004</v>
      </c>
      <c r="H188" s="218" t="s">
        <v>778</v>
      </c>
      <c r="I188" s="211" t="s">
        <v>2903</v>
      </c>
      <c r="J188" s="212" t="s">
        <v>638</v>
      </c>
      <c r="K188" s="211" t="s">
        <v>527</v>
      </c>
      <c r="L188" s="211" t="s">
        <v>797</v>
      </c>
    </row>
    <row r="189" spans="1:12" s="211" customFormat="1" x14ac:dyDescent="0.25">
      <c r="A189" s="211" t="s">
        <v>117</v>
      </c>
      <c r="B189" s="211">
        <v>616</v>
      </c>
      <c r="C189" s="211" t="s">
        <v>347</v>
      </c>
      <c r="D189" s="211">
        <v>192042946</v>
      </c>
      <c r="E189" s="218">
        <v>1060</v>
      </c>
      <c r="F189" s="211">
        <v>1242</v>
      </c>
      <c r="G189" s="211">
        <v>1004</v>
      </c>
      <c r="H189" s="218" t="s">
        <v>778</v>
      </c>
      <c r="I189" s="211" t="s">
        <v>2904</v>
      </c>
      <c r="J189" s="212" t="s">
        <v>638</v>
      </c>
      <c r="K189" s="211" t="s">
        <v>527</v>
      </c>
      <c r="L189" s="211" t="s">
        <v>797</v>
      </c>
    </row>
    <row r="190" spans="1:12" s="211" customFormat="1" x14ac:dyDescent="0.25">
      <c r="A190" s="211" t="s">
        <v>117</v>
      </c>
      <c r="B190" s="211">
        <v>616</v>
      </c>
      <c r="C190" s="211" t="s">
        <v>347</v>
      </c>
      <c r="D190" s="211">
        <v>192042947</v>
      </c>
      <c r="E190" s="218">
        <v>1060</v>
      </c>
      <c r="F190" s="211">
        <v>1242</v>
      </c>
      <c r="G190" s="211">
        <v>1004</v>
      </c>
      <c r="H190" s="218" t="s">
        <v>778</v>
      </c>
      <c r="I190" s="211" t="s">
        <v>2905</v>
      </c>
      <c r="J190" s="212" t="s">
        <v>638</v>
      </c>
      <c r="K190" s="211" t="s">
        <v>527</v>
      </c>
      <c r="L190" s="211" t="s">
        <v>797</v>
      </c>
    </row>
    <row r="191" spans="1:12" s="211" customFormat="1" x14ac:dyDescent="0.25">
      <c r="A191" s="211" t="s">
        <v>117</v>
      </c>
      <c r="B191" s="211">
        <v>619</v>
      </c>
      <c r="C191" s="211" t="s">
        <v>349</v>
      </c>
      <c r="D191" s="211">
        <v>191959820</v>
      </c>
      <c r="E191" s="218">
        <v>1080</v>
      </c>
      <c r="F191" s="211">
        <v>1274</v>
      </c>
      <c r="G191" s="211">
        <v>1004</v>
      </c>
      <c r="H191" s="218" t="s">
        <v>525</v>
      </c>
      <c r="I191" s="211" t="s">
        <v>3073</v>
      </c>
      <c r="J191" s="212" t="s">
        <v>638</v>
      </c>
      <c r="K191" s="211" t="s">
        <v>527</v>
      </c>
      <c r="L191" s="211" t="s">
        <v>798</v>
      </c>
    </row>
    <row r="192" spans="1:12" s="211" customFormat="1" x14ac:dyDescent="0.25">
      <c r="A192" s="211" t="s">
        <v>117</v>
      </c>
      <c r="B192" s="211">
        <v>620</v>
      </c>
      <c r="C192" s="211" t="s">
        <v>350</v>
      </c>
      <c r="D192" s="211">
        <v>191983926</v>
      </c>
      <c r="E192" s="218">
        <v>1080</v>
      </c>
      <c r="F192" s="211">
        <v>1273</v>
      </c>
      <c r="G192" s="211">
        <v>1004</v>
      </c>
      <c r="H192" s="218" t="s">
        <v>525</v>
      </c>
      <c r="I192" s="211" t="s">
        <v>1456</v>
      </c>
      <c r="J192" s="212" t="s">
        <v>638</v>
      </c>
      <c r="K192" s="211" t="s">
        <v>527</v>
      </c>
      <c r="L192" s="211" t="s">
        <v>798</v>
      </c>
    </row>
    <row r="193" spans="1:12" s="211" customFormat="1" x14ac:dyDescent="0.25">
      <c r="A193" s="211" t="s">
        <v>117</v>
      </c>
      <c r="B193" s="211">
        <v>623</v>
      </c>
      <c r="C193" s="211" t="s">
        <v>352</v>
      </c>
      <c r="D193" s="211">
        <v>192046656</v>
      </c>
      <c r="E193" s="218">
        <v>1060</v>
      </c>
      <c r="F193" s="211">
        <v>1252</v>
      </c>
      <c r="G193" s="211">
        <v>1004</v>
      </c>
      <c r="H193" s="218" t="s">
        <v>778</v>
      </c>
      <c r="I193" s="211" t="s">
        <v>3074</v>
      </c>
      <c r="J193" s="212" t="s">
        <v>638</v>
      </c>
      <c r="K193" s="211" t="s">
        <v>527</v>
      </c>
      <c r="L193" s="211" t="s">
        <v>797</v>
      </c>
    </row>
    <row r="194" spans="1:12" s="211" customFormat="1" x14ac:dyDescent="0.25">
      <c r="A194" s="211" t="s">
        <v>117</v>
      </c>
      <c r="B194" s="211">
        <v>629</v>
      </c>
      <c r="C194" s="211" t="s">
        <v>356</v>
      </c>
      <c r="D194" s="211">
        <v>192047762</v>
      </c>
      <c r="E194" s="218">
        <v>1080</v>
      </c>
      <c r="F194" s="211">
        <v>1274</v>
      </c>
      <c r="G194" s="211">
        <v>1004</v>
      </c>
      <c r="H194" s="218" t="s">
        <v>525</v>
      </c>
      <c r="I194" s="211" t="s">
        <v>3206</v>
      </c>
      <c r="J194" s="212" t="s">
        <v>638</v>
      </c>
      <c r="K194" s="211" t="s">
        <v>527</v>
      </c>
      <c r="L194" s="211" t="s">
        <v>798</v>
      </c>
    </row>
    <row r="195" spans="1:12" s="211" customFormat="1" x14ac:dyDescent="0.25">
      <c r="A195" s="211" t="s">
        <v>117</v>
      </c>
      <c r="B195" s="211">
        <v>629</v>
      </c>
      <c r="C195" s="211" t="s">
        <v>356</v>
      </c>
      <c r="D195" s="211">
        <v>192047771</v>
      </c>
      <c r="E195" s="218">
        <v>1080</v>
      </c>
      <c r="F195" s="211">
        <v>1274</v>
      </c>
      <c r="G195" s="211">
        <v>1004</v>
      </c>
      <c r="H195" s="218" t="s">
        <v>525</v>
      </c>
      <c r="I195" s="211" t="s">
        <v>3207</v>
      </c>
      <c r="J195" s="212" t="s">
        <v>638</v>
      </c>
      <c r="K195" s="211" t="s">
        <v>527</v>
      </c>
      <c r="L195" s="211" t="s">
        <v>798</v>
      </c>
    </row>
    <row r="196" spans="1:12" s="211" customFormat="1" x14ac:dyDescent="0.25">
      <c r="A196" s="211" t="s">
        <v>117</v>
      </c>
      <c r="B196" s="211">
        <v>667</v>
      </c>
      <c r="C196" s="211" t="s">
        <v>363</v>
      </c>
      <c r="D196" s="211">
        <v>504031149</v>
      </c>
      <c r="E196" s="218">
        <v>1060</v>
      </c>
      <c r="F196" s="211">
        <v>1242</v>
      </c>
      <c r="G196" s="211">
        <v>1004</v>
      </c>
      <c r="H196" s="218" t="s">
        <v>778</v>
      </c>
      <c r="I196" s="211" t="s">
        <v>3677</v>
      </c>
      <c r="J196" s="212" t="s">
        <v>638</v>
      </c>
      <c r="K196" s="211" t="s">
        <v>527</v>
      </c>
      <c r="L196" s="211" t="s">
        <v>797</v>
      </c>
    </row>
    <row r="197" spans="1:12" s="211" customFormat="1" x14ac:dyDescent="0.25">
      <c r="A197" s="211" t="s">
        <v>117</v>
      </c>
      <c r="B197" s="211">
        <v>670</v>
      </c>
      <c r="C197" s="211" t="s">
        <v>366</v>
      </c>
      <c r="D197" s="211">
        <v>191344831</v>
      </c>
      <c r="E197" s="218">
        <v>1040</v>
      </c>
      <c r="F197" s="211">
        <v>1251</v>
      </c>
      <c r="G197" s="211">
        <v>1004</v>
      </c>
      <c r="H197" s="218" t="s">
        <v>778</v>
      </c>
      <c r="I197" s="211" t="s">
        <v>2080</v>
      </c>
      <c r="J197" s="212" t="s">
        <v>638</v>
      </c>
      <c r="K197" s="211" t="s">
        <v>527</v>
      </c>
      <c r="L197" s="211" t="s">
        <v>796</v>
      </c>
    </row>
    <row r="198" spans="1:12" s="211" customFormat="1" x14ac:dyDescent="0.25">
      <c r="A198" s="211" t="s">
        <v>117</v>
      </c>
      <c r="B198" s="211">
        <v>670</v>
      </c>
      <c r="C198" s="211" t="s">
        <v>366</v>
      </c>
      <c r="D198" s="211">
        <v>192042327</v>
      </c>
      <c r="E198" s="218">
        <v>1060</v>
      </c>
      <c r="G198" s="211">
        <v>1004</v>
      </c>
      <c r="H198" s="218" t="s">
        <v>778</v>
      </c>
      <c r="I198" s="211" t="s">
        <v>3075</v>
      </c>
      <c r="J198" s="212" t="s">
        <v>638</v>
      </c>
      <c r="K198" s="211" t="s">
        <v>527</v>
      </c>
      <c r="L198" s="211" t="s">
        <v>797</v>
      </c>
    </row>
    <row r="199" spans="1:12" s="211" customFormat="1" x14ac:dyDescent="0.25">
      <c r="A199" s="211" t="s">
        <v>117</v>
      </c>
      <c r="B199" s="211">
        <v>694</v>
      </c>
      <c r="C199" s="211" t="s">
        <v>374</v>
      </c>
      <c r="D199" s="211">
        <v>502136432</v>
      </c>
      <c r="E199" s="218">
        <v>1060</v>
      </c>
      <c r="F199" s="211">
        <v>1274</v>
      </c>
      <c r="G199" s="211">
        <v>1004</v>
      </c>
      <c r="H199" s="218" t="s">
        <v>778</v>
      </c>
      <c r="I199" s="211" t="s">
        <v>3076</v>
      </c>
      <c r="J199" s="212" t="s">
        <v>638</v>
      </c>
      <c r="K199" s="211" t="s">
        <v>527</v>
      </c>
      <c r="L199" s="211" t="s">
        <v>797</v>
      </c>
    </row>
    <row r="200" spans="1:12" s="211" customFormat="1" x14ac:dyDescent="0.25">
      <c r="A200" s="211" t="s">
        <v>117</v>
      </c>
      <c r="B200" s="211">
        <v>700</v>
      </c>
      <c r="C200" s="211" t="s">
        <v>376</v>
      </c>
      <c r="D200" s="211">
        <v>191950301</v>
      </c>
      <c r="E200" s="218">
        <v>1060</v>
      </c>
      <c r="F200" s="211">
        <v>1274</v>
      </c>
      <c r="G200" s="211">
        <v>1003</v>
      </c>
      <c r="H200" s="218" t="s">
        <v>778</v>
      </c>
      <c r="I200" s="211" t="s">
        <v>2606</v>
      </c>
      <c r="J200" s="212" t="s">
        <v>638</v>
      </c>
      <c r="K200" s="211" t="s">
        <v>527</v>
      </c>
      <c r="L200" s="211" t="s">
        <v>797</v>
      </c>
    </row>
    <row r="201" spans="1:12" s="211" customFormat="1" x14ac:dyDescent="0.25">
      <c r="A201" s="211" t="s">
        <v>117</v>
      </c>
      <c r="B201" s="211">
        <v>706</v>
      </c>
      <c r="C201" s="211" t="s">
        <v>380</v>
      </c>
      <c r="D201" s="211">
        <v>191956084</v>
      </c>
      <c r="E201" s="218">
        <v>1060</v>
      </c>
      <c r="F201" s="211">
        <v>1271</v>
      </c>
      <c r="G201" s="211">
        <v>1004</v>
      </c>
      <c r="H201" s="218" t="s">
        <v>778</v>
      </c>
      <c r="I201" s="211" t="s">
        <v>3314</v>
      </c>
      <c r="J201" s="212" t="s">
        <v>638</v>
      </c>
      <c r="K201" s="211" t="s">
        <v>527</v>
      </c>
      <c r="L201" s="211" t="s">
        <v>797</v>
      </c>
    </row>
    <row r="202" spans="1:12" s="211" customFormat="1" x14ac:dyDescent="0.25">
      <c r="A202" s="211" t="s">
        <v>117</v>
      </c>
      <c r="B202" s="211">
        <v>724</v>
      </c>
      <c r="C202" s="211" t="s">
        <v>390</v>
      </c>
      <c r="D202" s="211">
        <v>192037153</v>
      </c>
      <c r="E202" s="218">
        <v>1080</v>
      </c>
      <c r="F202" s="211">
        <v>1274</v>
      </c>
      <c r="G202" s="211">
        <v>1004</v>
      </c>
      <c r="H202" s="218" t="s">
        <v>525</v>
      </c>
      <c r="I202" s="211" t="s">
        <v>3077</v>
      </c>
      <c r="J202" s="212" t="s">
        <v>638</v>
      </c>
      <c r="K202" s="211" t="s">
        <v>527</v>
      </c>
      <c r="L202" s="211" t="s">
        <v>798</v>
      </c>
    </row>
    <row r="203" spans="1:12" s="211" customFormat="1" x14ac:dyDescent="0.25">
      <c r="A203" s="211" t="s">
        <v>117</v>
      </c>
      <c r="B203" s="211">
        <v>726</v>
      </c>
      <c r="C203" s="211" t="s">
        <v>391</v>
      </c>
      <c r="D203" s="211">
        <v>192024405</v>
      </c>
      <c r="E203" s="218">
        <v>1060</v>
      </c>
      <c r="F203" s="211">
        <v>1274</v>
      </c>
      <c r="G203" s="211">
        <v>1004</v>
      </c>
      <c r="H203" s="218" t="s">
        <v>778</v>
      </c>
      <c r="I203" s="211" t="s">
        <v>2332</v>
      </c>
      <c r="J203" s="212" t="s">
        <v>638</v>
      </c>
      <c r="K203" s="211" t="s">
        <v>527</v>
      </c>
      <c r="L203" s="211" t="s">
        <v>797</v>
      </c>
    </row>
    <row r="204" spans="1:12" s="211" customFormat="1" x14ac:dyDescent="0.25">
      <c r="A204" s="211" t="s">
        <v>117</v>
      </c>
      <c r="B204" s="211">
        <v>726</v>
      </c>
      <c r="C204" s="211" t="s">
        <v>391</v>
      </c>
      <c r="D204" s="211">
        <v>192024418</v>
      </c>
      <c r="E204" s="218">
        <v>1060</v>
      </c>
      <c r="F204" s="211">
        <v>1274</v>
      </c>
      <c r="G204" s="211">
        <v>1004</v>
      </c>
      <c r="H204" s="218" t="s">
        <v>778</v>
      </c>
      <c r="I204" s="211" t="s">
        <v>2333</v>
      </c>
      <c r="J204" s="212" t="s">
        <v>638</v>
      </c>
      <c r="K204" s="211" t="s">
        <v>527</v>
      </c>
      <c r="L204" s="211" t="s">
        <v>797</v>
      </c>
    </row>
    <row r="205" spans="1:12" s="211" customFormat="1" x14ac:dyDescent="0.25">
      <c r="A205" s="211" t="s">
        <v>117</v>
      </c>
      <c r="B205" s="211">
        <v>726</v>
      </c>
      <c r="C205" s="211" t="s">
        <v>391</v>
      </c>
      <c r="D205" s="211">
        <v>192033563</v>
      </c>
      <c r="E205" s="218">
        <v>1060</v>
      </c>
      <c r="F205" s="211">
        <v>1252</v>
      </c>
      <c r="G205" s="211">
        <v>1004</v>
      </c>
      <c r="H205" s="218" t="s">
        <v>778</v>
      </c>
      <c r="I205" s="211" t="s">
        <v>2522</v>
      </c>
      <c r="J205" s="212" t="s">
        <v>638</v>
      </c>
      <c r="K205" s="211" t="s">
        <v>527</v>
      </c>
      <c r="L205" s="211" t="s">
        <v>797</v>
      </c>
    </row>
    <row r="206" spans="1:12" s="211" customFormat="1" x14ac:dyDescent="0.25">
      <c r="A206" s="211" t="s">
        <v>117</v>
      </c>
      <c r="B206" s="211">
        <v>726</v>
      </c>
      <c r="C206" s="211" t="s">
        <v>391</v>
      </c>
      <c r="D206" s="211">
        <v>192041236</v>
      </c>
      <c r="E206" s="218">
        <v>1060</v>
      </c>
      <c r="F206" s="211">
        <v>1252</v>
      </c>
      <c r="G206" s="211">
        <v>1004</v>
      </c>
      <c r="H206" s="218" t="s">
        <v>778</v>
      </c>
      <c r="I206" s="211" t="s">
        <v>2768</v>
      </c>
      <c r="J206" s="212" t="s">
        <v>638</v>
      </c>
      <c r="K206" s="211" t="s">
        <v>527</v>
      </c>
      <c r="L206" s="211" t="s">
        <v>797</v>
      </c>
    </row>
    <row r="207" spans="1:12" s="211" customFormat="1" x14ac:dyDescent="0.25">
      <c r="A207" s="211" t="s">
        <v>117</v>
      </c>
      <c r="B207" s="211">
        <v>726</v>
      </c>
      <c r="C207" s="211" t="s">
        <v>391</v>
      </c>
      <c r="D207" s="211">
        <v>192041242</v>
      </c>
      <c r="E207" s="218">
        <v>1060</v>
      </c>
      <c r="F207" s="211">
        <v>1252</v>
      </c>
      <c r="G207" s="211">
        <v>1004</v>
      </c>
      <c r="H207" s="218" t="s">
        <v>778</v>
      </c>
      <c r="I207" s="211" t="s">
        <v>2769</v>
      </c>
      <c r="J207" s="212" t="s">
        <v>638</v>
      </c>
      <c r="K207" s="211" t="s">
        <v>527</v>
      </c>
      <c r="L207" s="211" t="s">
        <v>797</v>
      </c>
    </row>
    <row r="208" spans="1:12" s="211" customFormat="1" x14ac:dyDescent="0.25">
      <c r="A208" s="211" t="s">
        <v>117</v>
      </c>
      <c r="B208" s="211">
        <v>726</v>
      </c>
      <c r="C208" s="211" t="s">
        <v>391</v>
      </c>
      <c r="D208" s="211">
        <v>192041249</v>
      </c>
      <c r="E208" s="218">
        <v>1060</v>
      </c>
      <c r="F208" s="211">
        <v>1252</v>
      </c>
      <c r="G208" s="211">
        <v>1004</v>
      </c>
      <c r="H208" s="218" t="s">
        <v>778</v>
      </c>
      <c r="I208" s="211" t="s">
        <v>2770</v>
      </c>
      <c r="J208" s="212" t="s">
        <v>638</v>
      </c>
      <c r="K208" s="211" t="s">
        <v>527</v>
      </c>
      <c r="L208" s="211" t="s">
        <v>797</v>
      </c>
    </row>
    <row r="209" spans="1:12" s="211" customFormat="1" x14ac:dyDescent="0.25">
      <c r="A209" s="211" t="s">
        <v>117</v>
      </c>
      <c r="B209" s="211">
        <v>726</v>
      </c>
      <c r="C209" s="211" t="s">
        <v>391</v>
      </c>
      <c r="D209" s="211">
        <v>504006239</v>
      </c>
      <c r="E209" s="218">
        <v>1080</v>
      </c>
      <c r="F209" s="211">
        <v>1271</v>
      </c>
      <c r="G209" s="211">
        <v>1004</v>
      </c>
      <c r="H209" s="218" t="s">
        <v>525</v>
      </c>
      <c r="I209" s="211" t="s">
        <v>2771</v>
      </c>
      <c r="J209" s="212" t="s">
        <v>638</v>
      </c>
      <c r="K209" s="211" t="s">
        <v>527</v>
      </c>
      <c r="L209" s="211" t="s">
        <v>798</v>
      </c>
    </row>
    <row r="210" spans="1:12" s="211" customFormat="1" x14ac:dyDescent="0.25">
      <c r="A210" s="211" t="s">
        <v>117</v>
      </c>
      <c r="B210" s="211">
        <v>726</v>
      </c>
      <c r="C210" s="211" t="s">
        <v>391</v>
      </c>
      <c r="D210" s="211">
        <v>504006293</v>
      </c>
      <c r="E210" s="218">
        <v>1080</v>
      </c>
      <c r="F210" s="211">
        <v>1274</v>
      </c>
      <c r="G210" s="211">
        <v>1004</v>
      </c>
      <c r="H210" s="218" t="s">
        <v>525</v>
      </c>
      <c r="I210" s="211" t="s">
        <v>2523</v>
      </c>
      <c r="J210" s="212" t="s">
        <v>638</v>
      </c>
      <c r="K210" s="211" t="s">
        <v>527</v>
      </c>
      <c r="L210" s="211" t="s">
        <v>798</v>
      </c>
    </row>
    <row r="211" spans="1:12" s="211" customFormat="1" x14ac:dyDescent="0.25">
      <c r="A211" s="211" t="s">
        <v>117</v>
      </c>
      <c r="B211" s="211">
        <v>726</v>
      </c>
      <c r="C211" s="211" t="s">
        <v>391</v>
      </c>
      <c r="D211" s="211">
        <v>504006336</v>
      </c>
      <c r="E211" s="218">
        <v>1080</v>
      </c>
      <c r="F211" s="211">
        <v>1274</v>
      </c>
      <c r="G211" s="211">
        <v>1004</v>
      </c>
      <c r="H211" s="218" t="s">
        <v>525</v>
      </c>
      <c r="I211" s="211" t="s">
        <v>2524</v>
      </c>
      <c r="J211" s="212" t="s">
        <v>638</v>
      </c>
      <c r="K211" s="211" t="s">
        <v>527</v>
      </c>
      <c r="L211" s="211" t="s">
        <v>798</v>
      </c>
    </row>
    <row r="212" spans="1:12" s="211" customFormat="1" x14ac:dyDescent="0.25">
      <c r="A212" s="211" t="s">
        <v>117</v>
      </c>
      <c r="B212" s="211">
        <v>726</v>
      </c>
      <c r="C212" s="211" t="s">
        <v>391</v>
      </c>
      <c r="D212" s="211">
        <v>504006343</v>
      </c>
      <c r="E212" s="218">
        <v>1080</v>
      </c>
      <c r="F212" s="211">
        <v>1274</v>
      </c>
      <c r="G212" s="211">
        <v>1004</v>
      </c>
      <c r="H212" s="218" t="s">
        <v>525</v>
      </c>
      <c r="I212" s="211" t="s">
        <v>2525</v>
      </c>
      <c r="J212" s="212" t="s">
        <v>638</v>
      </c>
      <c r="K212" s="211" t="s">
        <v>527</v>
      </c>
      <c r="L212" s="211" t="s">
        <v>798</v>
      </c>
    </row>
    <row r="213" spans="1:12" s="211" customFormat="1" x14ac:dyDescent="0.25">
      <c r="A213" s="211" t="s">
        <v>117</v>
      </c>
      <c r="B213" s="211">
        <v>726</v>
      </c>
      <c r="C213" s="211" t="s">
        <v>391</v>
      </c>
      <c r="D213" s="211">
        <v>504006348</v>
      </c>
      <c r="E213" s="218">
        <v>1080</v>
      </c>
      <c r="F213" s="211">
        <v>1274</v>
      </c>
      <c r="G213" s="211">
        <v>1004</v>
      </c>
      <c r="H213" s="218" t="s">
        <v>525</v>
      </c>
      <c r="I213" s="211" t="s">
        <v>2526</v>
      </c>
      <c r="J213" s="212" t="s">
        <v>638</v>
      </c>
      <c r="K213" s="211" t="s">
        <v>527</v>
      </c>
      <c r="L213" s="211" t="s">
        <v>798</v>
      </c>
    </row>
    <row r="214" spans="1:12" s="211" customFormat="1" x14ac:dyDescent="0.25">
      <c r="A214" s="211" t="s">
        <v>117</v>
      </c>
      <c r="B214" s="211">
        <v>726</v>
      </c>
      <c r="C214" s="211" t="s">
        <v>391</v>
      </c>
      <c r="D214" s="211">
        <v>504006351</v>
      </c>
      <c r="E214" s="218">
        <v>1080</v>
      </c>
      <c r="F214" s="211">
        <v>1271</v>
      </c>
      <c r="G214" s="211">
        <v>1004</v>
      </c>
      <c r="H214" s="218" t="s">
        <v>525</v>
      </c>
      <c r="I214" s="211" t="s">
        <v>2527</v>
      </c>
      <c r="J214" s="212" t="s">
        <v>638</v>
      </c>
      <c r="K214" s="211" t="s">
        <v>527</v>
      </c>
      <c r="L214" s="211" t="s">
        <v>798</v>
      </c>
    </row>
    <row r="215" spans="1:12" s="211" customFormat="1" x14ac:dyDescent="0.25">
      <c r="A215" s="211" t="s">
        <v>117</v>
      </c>
      <c r="B215" s="211">
        <v>726</v>
      </c>
      <c r="C215" s="211" t="s">
        <v>391</v>
      </c>
      <c r="D215" s="211">
        <v>504006368</v>
      </c>
      <c r="E215" s="218">
        <v>1080</v>
      </c>
      <c r="F215" s="211">
        <v>1274</v>
      </c>
      <c r="G215" s="211">
        <v>1004</v>
      </c>
      <c r="H215" s="218" t="s">
        <v>525</v>
      </c>
      <c r="I215" s="211" t="s">
        <v>2528</v>
      </c>
      <c r="J215" s="212" t="s">
        <v>638</v>
      </c>
      <c r="K215" s="211" t="s">
        <v>527</v>
      </c>
      <c r="L215" s="211" t="s">
        <v>798</v>
      </c>
    </row>
    <row r="216" spans="1:12" s="211" customFormat="1" x14ac:dyDescent="0.25">
      <c r="A216" s="211" t="s">
        <v>117</v>
      </c>
      <c r="B216" s="211">
        <v>726</v>
      </c>
      <c r="C216" s="211" t="s">
        <v>391</v>
      </c>
      <c r="D216" s="211">
        <v>504006372</v>
      </c>
      <c r="E216" s="218">
        <v>1080</v>
      </c>
      <c r="F216" s="211">
        <v>1274</v>
      </c>
      <c r="G216" s="211">
        <v>1004</v>
      </c>
      <c r="H216" s="218" t="s">
        <v>525</v>
      </c>
      <c r="I216" s="211" t="s">
        <v>2529</v>
      </c>
      <c r="J216" s="212" t="s">
        <v>638</v>
      </c>
      <c r="K216" s="211" t="s">
        <v>527</v>
      </c>
      <c r="L216" s="211" t="s">
        <v>798</v>
      </c>
    </row>
    <row r="217" spans="1:12" s="211" customFormat="1" x14ac:dyDescent="0.25">
      <c r="A217" s="211" t="s">
        <v>117</v>
      </c>
      <c r="B217" s="211">
        <v>732</v>
      </c>
      <c r="C217" s="211" t="s">
        <v>393</v>
      </c>
      <c r="D217" s="211">
        <v>191994515</v>
      </c>
      <c r="E217" s="218">
        <v>1060</v>
      </c>
      <c r="F217" s="211">
        <v>1242</v>
      </c>
      <c r="G217" s="211">
        <v>1004</v>
      </c>
      <c r="H217" s="218" t="s">
        <v>778</v>
      </c>
      <c r="I217" s="211" t="s">
        <v>2685</v>
      </c>
      <c r="J217" s="212" t="s">
        <v>638</v>
      </c>
      <c r="K217" s="211" t="s">
        <v>527</v>
      </c>
      <c r="L217" s="211" t="s">
        <v>797</v>
      </c>
    </row>
    <row r="218" spans="1:12" s="211" customFormat="1" x14ac:dyDescent="0.25">
      <c r="A218" s="211" t="s">
        <v>117</v>
      </c>
      <c r="B218" s="211">
        <v>733</v>
      </c>
      <c r="C218" s="211" t="s">
        <v>394</v>
      </c>
      <c r="D218" s="211">
        <v>192039570</v>
      </c>
      <c r="E218" s="218">
        <v>1060</v>
      </c>
      <c r="G218" s="211">
        <v>1004</v>
      </c>
      <c r="H218" s="218" t="s">
        <v>778</v>
      </c>
      <c r="I218" s="211" t="s">
        <v>3078</v>
      </c>
      <c r="J218" s="212" t="s">
        <v>638</v>
      </c>
      <c r="K218" s="211" t="s">
        <v>527</v>
      </c>
      <c r="L218" s="211" t="s">
        <v>797</v>
      </c>
    </row>
    <row r="219" spans="1:12" s="211" customFormat="1" x14ac:dyDescent="0.25">
      <c r="A219" s="211" t="s">
        <v>117</v>
      </c>
      <c r="B219" s="211">
        <v>733</v>
      </c>
      <c r="C219" s="211" t="s">
        <v>394</v>
      </c>
      <c r="D219" s="211">
        <v>192039573</v>
      </c>
      <c r="E219" s="218">
        <v>1060</v>
      </c>
      <c r="G219" s="211">
        <v>1004</v>
      </c>
      <c r="H219" s="218" t="s">
        <v>778</v>
      </c>
      <c r="I219" s="211" t="s">
        <v>3079</v>
      </c>
      <c r="J219" s="212" t="s">
        <v>638</v>
      </c>
      <c r="K219" s="211" t="s">
        <v>527</v>
      </c>
      <c r="L219" s="211" t="s">
        <v>797</v>
      </c>
    </row>
    <row r="220" spans="1:12" s="211" customFormat="1" x14ac:dyDescent="0.25">
      <c r="A220" s="211" t="s">
        <v>117</v>
      </c>
      <c r="B220" s="211">
        <v>734</v>
      </c>
      <c r="C220" s="211" t="s">
        <v>395</v>
      </c>
      <c r="D220" s="211">
        <v>191957050</v>
      </c>
      <c r="E220" s="218">
        <v>1080</v>
      </c>
      <c r="F220" s="211">
        <v>1271</v>
      </c>
      <c r="G220" s="211">
        <v>1004</v>
      </c>
      <c r="H220" s="218" t="s">
        <v>525</v>
      </c>
      <c r="I220" s="211" t="s">
        <v>3080</v>
      </c>
      <c r="J220" s="212" t="s">
        <v>638</v>
      </c>
      <c r="K220" s="211" t="s">
        <v>527</v>
      </c>
      <c r="L220" s="211" t="s">
        <v>798</v>
      </c>
    </row>
    <row r="221" spans="1:12" s="211" customFormat="1" x14ac:dyDescent="0.25">
      <c r="A221" s="211" t="s">
        <v>117</v>
      </c>
      <c r="B221" s="211">
        <v>734</v>
      </c>
      <c r="C221" s="211" t="s">
        <v>395</v>
      </c>
      <c r="D221" s="211">
        <v>191984715</v>
      </c>
      <c r="E221" s="218">
        <v>1060</v>
      </c>
      <c r="F221" s="211">
        <v>1242</v>
      </c>
      <c r="G221" s="211">
        <v>1004</v>
      </c>
      <c r="H221" s="218" t="s">
        <v>778</v>
      </c>
      <c r="I221" s="211" t="s">
        <v>3081</v>
      </c>
      <c r="J221" s="212" t="s">
        <v>638</v>
      </c>
      <c r="K221" s="211" t="s">
        <v>527</v>
      </c>
      <c r="L221" s="211" t="s">
        <v>797</v>
      </c>
    </row>
    <row r="222" spans="1:12" s="211" customFormat="1" x14ac:dyDescent="0.25">
      <c r="A222" s="211" t="s">
        <v>117</v>
      </c>
      <c r="B222" s="211">
        <v>734</v>
      </c>
      <c r="C222" s="211" t="s">
        <v>395</v>
      </c>
      <c r="D222" s="211">
        <v>502053472</v>
      </c>
      <c r="E222" s="218">
        <v>1060</v>
      </c>
      <c r="F222" s="211">
        <v>1242</v>
      </c>
      <c r="G222" s="211">
        <v>1004</v>
      </c>
      <c r="H222" s="218" t="s">
        <v>778</v>
      </c>
      <c r="I222" s="211" t="s">
        <v>3082</v>
      </c>
      <c r="J222" s="212" t="s">
        <v>638</v>
      </c>
      <c r="K222" s="211" t="s">
        <v>527</v>
      </c>
      <c r="L222" s="211" t="s">
        <v>797</v>
      </c>
    </row>
    <row r="223" spans="1:12" s="211" customFormat="1" x14ac:dyDescent="0.25">
      <c r="A223" s="211" t="s">
        <v>117</v>
      </c>
      <c r="B223" s="211">
        <v>742</v>
      </c>
      <c r="C223" s="211" t="s">
        <v>403</v>
      </c>
      <c r="D223" s="211">
        <v>191815256</v>
      </c>
      <c r="E223" s="218">
        <v>1060</v>
      </c>
      <c r="F223" s="211">
        <v>1242</v>
      </c>
      <c r="G223" s="211">
        <v>1004</v>
      </c>
      <c r="H223" s="218" t="s">
        <v>778</v>
      </c>
      <c r="I223" s="211" t="s">
        <v>3083</v>
      </c>
      <c r="J223" s="212" t="s">
        <v>638</v>
      </c>
      <c r="K223" s="211" t="s">
        <v>527</v>
      </c>
      <c r="L223" s="211" t="s">
        <v>797</v>
      </c>
    </row>
    <row r="224" spans="1:12" s="211" customFormat="1" x14ac:dyDescent="0.25">
      <c r="A224" s="211" t="s">
        <v>117</v>
      </c>
      <c r="B224" s="211">
        <v>742</v>
      </c>
      <c r="C224" s="211" t="s">
        <v>403</v>
      </c>
      <c r="D224" s="211">
        <v>192012218</v>
      </c>
      <c r="E224" s="218">
        <v>1060</v>
      </c>
      <c r="F224" s="211">
        <v>1274</v>
      </c>
      <c r="G224" s="211">
        <v>1004</v>
      </c>
      <c r="H224" s="218" t="s">
        <v>778</v>
      </c>
      <c r="I224" s="211" t="s">
        <v>3084</v>
      </c>
      <c r="J224" s="212" t="s">
        <v>638</v>
      </c>
      <c r="K224" s="211" t="s">
        <v>527</v>
      </c>
      <c r="L224" s="211" t="s">
        <v>797</v>
      </c>
    </row>
    <row r="225" spans="1:12" s="211" customFormat="1" x14ac:dyDescent="0.25">
      <c r="A225" s="211" t="s">
        <v>117</v>
      </c>
      <c r="B225" s="211">
        <v>744</v>
      </c>
      <c r="C225" s="211" t="s">
        <v>405</v>
      </c>
      <c r="D225" s="211">
        <v>191969497</v>
      </c>
      <c r="E225" s="218">
        <v>1080</v>
      </c>
      <c r="F225" s="211">
        <v>1242</v>
      </c>
      <c r="G225" s="211">
        <v>1004</v>
      </c>
      <c r="H225" s="218" t="s">
        <v>525</v>
      </c>
      <c r="I225" s="211" t="s">
        <v>2772</v>
      </c>
      <c r="J225" s="212" t="s">
        <v>638</v>
      </c>
      <c r="K225" s="211" t="s">
        <v>527</v>
      </c>
      <c r="L225" s="211" t="s">
        <v>798</v>
      </c>
    </row>
    <row r="226" spans="1:12" s="211" customFormat="1" x14ac:dyDescent="0.25">
      <c r="A226" s="211" t="s">
        <v>117</v>
      </c>
      <c r="B226" s="211">
        <v>746</v>
      </c>
      <c r="C226" s="211" t="s">
        <v>407</v>
      </c>
      <c r="D226" s="211">
        <v>192037024</v>
      </c>
      <c r="E226" s="218">
        <v>1060</v>
      </c>
      <c r="F226" s="211">
        <v>1242</v>
      </c>
      <c r="G226" s="211">
        <v>1004</v>
      </c>
      <c r="H226" s="218" t="s">
        <v>778</v>
      </c>
      <c r="I226" s="211" t="s">
        <v>2625</v>
      </c>
      <c r="J226" s="212" t="s">
        <v>638</v>
      </c>
      <c r="K226" s="211" t="s">
        <v>527</v>
      </c>
      <c r="L226" s="211" t="s">
        <v>797</v>
      </c>
    </row>
    <row r="227" spans="1:12" s="211" customFormat="1" x14ac:dyDescent="0.25">
      <c r="A227" s="211" t="s">
        <v>117</v>
      </c>
      <c r="B227" s="211">
        <v>746</v>
      </c>
      <c r="C227" s="211" t="s">
        <v>407</v>
      </c>
      <c r="D227" s="211">
        <v>192037025</v>
      </c>
      <c r="E227" s="218">
        <v>1060</v>
      </c>
      <c r="F227" s="211">
        <v>1242</v>
      </c>
      <c r="G227" s="211">
        <v>1004</v>
      </c>
      <c r="H227" s="218" t="s">
        <v>778</v>
      </c>
      <c r="I227" s="211" t="s">
        <v>2626</v>
      </c>
      <c r="J227" s="212" t="s">
        <v>638</v>
      </c>
      <c r="K227" s="211" t="s">
        <v>527</v>
      </c>
      <c r="L227" s="211" t="s">
        <v>797</v>
      </c>
    </row>
    <row r="228" spans="1:12" s="211" customFormat="1" x14ac:dyDescent="0.25">
      <c r="A228" s="211" t="s">
        <v>117</v>
      </c>
      <c r="B228" s="211">
        <v>746</v>
      </c>
      <c r="C228" s="211" t="s">
        <v>407</v>
      </c>
      <c r="D228" s="211">
        <v>502058961</v>
      </c>
      <c r="E228" s="218">
        <v>1060</v>
      </c>
      <c r="G228" s="211">
        <v>1004</v>
      </c>
      <c r="H228" s="218" t="s">
        <v>778</v>
      </c>
      <c r="I228" s="211" t="s">
        <v>3171</v>
      </c>
      <c r="J228" s="212" t="s">
        <v>638</v>
      </c>
      <c r="K228" s="211" t="s">
        <v>527</v>
      </c>
      <c r="L228" s="211" t="s">
        <v>797</v>
      </c>
    </row>
    <row r="229" spans="1:12" s="211" customFormat="1" x14ac:dyDescent="0.25">
      <c r="A229" s="211" t="s">
        <v>117</v>
      </c>
      <c r="B229" s="211">
        <v>750</v>
      </c>
      <c r="C229" s="211" t="s">
        <v>411</v>
      </c>
      <c r="D229" s="211">
        <v>192033986</v>
      </c>
      <c r="E229" s="218">
        <v>1020</v>
      </c>
      <c r="F229" s="211">
        <v>1110</v>
      </c>
      <c r="G229" s="211">
        <v>1004</v>
      </c>
      <c r="H229" s="218" t="s">
        <v>778</v>
      </c>
      <c r="I229" s="211" t="s">
        <v>2530</v>
      </c>
      <c r="J229" s="212" t="s">
        <v>638</v>
      </c>
      <c r="K229" s="211" t="s">
        <v>527</v>
      </c>
      <c r="L229" s="211" t="s">
        <v>799</v>
      </c>
    </row>
    <row r="230" spans="1:12" s="211" customFormat="1" x14ac:dyDescent="0.25">
      <c r="A230" s="211" t="s">
        <v>117</v>
      </c>
      <c r="B230" s="211">
        <v>751</v>
      </c>
      <c r="C230" s="211" t="s">
        <v>412</v>
      </c>
      <c r="D230" s="211">
        <v>191963456</v>
      </c>
      <c r="E230" s="218">
        <v>1080</v>
      </c>
      <c r="F230" s="211">
        <v>1242</v>
      </c>
      <c r="G230" s="211">
        <v>1004</v>
      </c>
      <c r="H230" s="218" t="s">
        <v>525</v>
      </c>
      <c r="I230" s="211" t="s">
        <v>3085</v>
      </c>
      <c r="J230" s="212" t="s">
        <v>638</v>
      </c>
      <c r="K230" s="211" t="s">
        <v>527</v>
      </c>
      <c r="L230" s="211" t="s">
        <v>798</v>
      </c>
    </row>
    <row r="231" spans="1:12" s="211" customFormat="1" x14ac:dyDescent="0.25">
      <c r="A231" s="211" t="s">
        <v>117</v>
      </c>
      <c r="B231" s="211">
        <v>754</v>
      </c>
      <c r="C231" s="211" t="s">
        <v>413</v>
      </c>
      <c r="D231" s="211">
        <v>190489472</v>
      </c>
      <c r="E231" s="218">
        <v>1010</v>
      </c>
      <c r="G231" s="211">
        <v>1004</v>
      </c>
      <c r="H231" s="218" t="s">
        <v>525</v>
      </c>
      <c r="I231" s="211" t="s">
        <v>953</v>
      </c>
      <c r="J231" s="212" t="s">
        <v>638</v>
      </c>
      <c r="K231" s="211" t="s">
        <v>748</v>
      </c>
      <c r="L231" s="211" t="s">
        <v>784</v>
      </c>
    </row>
    <row r="232" spans="1:12" s="211" customFormat="1" x14ac:dyDescent="0.25">
      <c r="A232" s="211" t="s">
        <v>117</v>
      </c>
      <c r="B232" s="211">
        <v>756</v>
      </c>
      <c r="C232" s="211" t="s">
        <v>415</v>
      </c>
      <c r="D232" s="211">
        <v>504018025</v>
      </c>
      <c r="E232" s="218">
        <v>1080</v>
      </c>
      <c r="F232" s="211">
        <v>1271</v>
      </c>
      <c r="G232" s="211">
        <v>1004</v>
      </c>
      <c r="H232" s="218" t="s">
        <v>525</v>
      </c>
      <c r="I232" s="211" t="s">
        <v>2961</v>
      </c>
      <c r="J232" s="212" t="s">
        <v>638</v>
      </c>
      <c r="K232" s="211" t="s">
        <v>527</v>
      </c>
      <c r="L232" s="211" t="s">
        <v>798</v>
      </c>
    </row>
    <row r="233" spans="1:12" s="211" customFormat="1" x14ac:dyDescent="0.25">
      <c r="A233" s="211" t="s">
        <v>117</v>
      </c>
      <c r="B233" s="211">
        <v>766</v>
      </c>
      <c r="C233" s="211" t="s">
        <v>419</v>
      </c>
      <c r="D233" s="211">
        <v>191009391</v>
      </c>
      <c r="E233" s="218">
        <v>1010</v>
      </c>
      <c r="F233" s="211">
        <v>1212</v>
      </c>
      <c r="G233" s="211">
        <v>1004</v>
      </c>
      <c r="H233" s="218" t="s">
        <v>525</v>
      </c>
      <c r="I233" s="211" t="s">
        <v>1323</v>
      </c>
      <c r="J233" s="212" t="s">
        <v>638</v>
      </c>
      <c r="K233" s="211" t="s">
        <v>748</v>
      </c>
      <c r="L233" s="211" t="s">
        <v>1325</v>
      </c>
    </row>
    <row r="234" spans="1:12" s="211" customFormat="1" x14ac:dyDescent="0.25">
      <c r="A234" s="211" t="s">
        <v>117</v>
      </c>
      <c r="B234" s="211">
        <v>770</v>
      </c>
      <c r="C234" s="211" t="s">
        <v>423</v>
      </c>
      <c r="D234" s="211">
        <v>192042248</v>
      </c>
      <c r="E234" s="218">
        <v>1060</v>
      </c>
      <c r="F234" s="211">
        <v>1271</v>
      </c>
      <c r="G234" s="211">
        <v>1004</v>
      </c>
      <c r="H234" s="218" t="s">
        <v>778</v>
      </c>
      <c r="I234" s="211" t="s">
        <v>3086</v>
      </c>
      <c r="J234" s="212" t="s">
        <v>638</v>
      </c>
      <c r="K234" s="211" t="s">
        <v>527</v>
      </c>
      <c r="L234" s="211" t="s">
        <v>797</v>
      </c>
    </row>
    <row r="235" spans="1:12" s="211" customFormat="1" x14ac:dyDescent="0.25">
      <c r="A235" s="211" t="s">
        <v>117</v>
      </c>
      <c r="B235" s="211">
        <v>782</v>
      </c>
      <c r="C235" s="211" t="s">
        <v>424</v>
      </c>
      <c r="D235" s="211">
        <v>191119930</v>
      </c>
      <c r="E235" s="218">
        <v>1080</v>
      </c>
      <c r="G235" s="211">
        <v>1004</v>
      </c>
      <c r="H235" s="218" t="s">
        <v>525</v>
      </c>
      <c r="I235" s="211" t="s">
        <v>1741</v>
      </c>
      <c r="J235" s="212" t="s">
        <v>638</v>
      </c>
      <c r="K235" s="211" t="s">
        <v>527</v>
      </c>
      <c r="L235" s="211" t="s">
        <v>798</v>
      </c>
    </row>
    <row r="236" spans="1:12" s="211" customFormat="1" x14ac:dyDescent="0.25">
      <c r="A236" s="211" t="s">
        <v>117</v>
      </c>
      <c r="B236" s="211">
        <v>783</v>
      </c>
      <c r="C236" s="211" t="s">
        <v>425</v>
      </c>
      <c r="D236" s="211">
        <v>192016115</v>
      </c>
      <c r="E236" s="218">
        <v>1060</v>
      </c>
      <c r="F236" s="211">
        <v>1242</v>
      </c>
      <c r="G236" s="211">
        <v>1004</v>
      </c>
      <c r="H236" s="218" t="s">
        <v>778</v>
      </c>
      <c r="I236" s="211" t="s">
        <v>2962</v>
      </c>
      <c r="J236" s="212" t="s">
        <v>638</v>
      </c>
      <c r="K236" s="211" t="s">
        <v>527</v>
      </c>
      <c r="L236" s="211" t="s">
        <v>797</v>
      </c>
    </row>
    <row r="237" spans="1:12" s="211" customFormat="1" x14ac:dyDescent="0.25">
      <c r="A237" s="211" t="s">
        <v>117</v>
      </c>
      <c r="B237" s="211">
        <v>785</v>
      </c>
      <c r="C237" s="211" t="s">
        <v>427</v>
      </c>
      <c r="D237" s="211">
        <v>192042838</v>
      </c>
      <c r="E237" s="218">
        <v>1060</v>
      </c>
      <c r="F237" s="211">
        <v>1242</v>
      </c>
      <c r="G237" s="211">
        <v>1004</v>
      </c>
      <c r="H237" s="218" t="s">
        <v>778</v>
      </c>
      <c r="I237" s="211" t="s">
        <v>3172</v>
      </c>
      <c r="J237" s="212" t="s">
        <v>638</v>
      </c>
      <c r="K237" s="211" t="s">
        <v>527</v>
      </c>
      <c r="L237" s="211" t="s">
        <v>3849</v>
      </c>
    </row>
    <row r="238" spans="1:12" s="211" customFormat="1" x14ac:dyDescent="0.25">
      <c r="A238" s="211" t="s">
        <v>117</v>
      </c>
      <c r="B238" s="211">
        <v>791</v>
      </c>
      <c r="C238" s="211" t="s">
        <v>429</v>
      </c>
      <c r="D238" s="211">
        <v>192040956</v>
      </c>
      <c r="E238" s="218">
        <v>1080</v>
      </c>
      <c r="F238" s="211">
        <v>1274</v>
      </c>
      <c r="G238" s="211">
        <v>1004</v>
      </c>
      <c r="H238" s="218" t="s">
        <v>525</v>
      </c>
      <c r="I238" s="211" t="s">
        <v>3087</v>
      </c>
      <c r="J238" s="212" t="s">
        <v>638</v>
      </c>
      <c r="K238" s="211" t="s">
        <v>527</v>
      </c>
      <c r="L238" s="211" t="s">
        <v>798</v>
      </c>
    </row>
    <row r="239" spans="1:12" s="211" customFormat="1" x14ac:dyDescent="0.25">
      <c r="A239" s="211" t="s">
        <v>117</v>
      </c>
      <c r="B239" s="211">
        <v>792</v>
      </c>
      <c r="C239" s="211" t="s">
        <v>430</v>
      </c>
      <c r="D239" s="211">
        <v>191870589</v>
      </c>
      <c r="E239" s="218">
        <v>1060</v>
      </c>
      <c r="F239" s="211">
        <v>1274</v>
      </c>
      <c r="G239" s="211">
        <v>1004</v>
      </c>
      <c r="H239" s="218" t="s">
        <v>778</v>
      </c>
      <c r="I239" s="211" t="s">
        <v>2963</v>
      </c>
      <c r="J239" s="212" t="s">
        <v>638</v>
      </c>
      <c r="K239" s="211" t="s">
        <v>527</v>
      </c>
      <c r="L239" s="211" t="s">
        <v>797</v>
      </c>
    </row>
    <row r="240" spans="1:12" s="211" customFormat="1" x14ac:dyDescent="0.25">
      <c r="A240" s="211" t="s">
        <v>117</v>
      </c>
      <c r="B240" s="211">
        <v>792</v>
      </c>
      <c r="C240" s="211" t="s">
        <v>430</v>
      </c>
      <c r="D240" s="211">
        <v>191948897</v>
      </c>
      <c r="E240" s="218">
        <v>1060</v>
      </c>
      <c r="F240" s="211">
        <v>1242</v>
      </c>
      <c r="G240" s="211">
        <v>1004</v>
      </c>
      <c r="H240" s="218" t="s">
        <v>778</v>
      </c>
      <c r="I240" s="211" t="s">
        <v>3678</v>
      </c>
      <c r="J240" s="212" t="s">
        <v>638</v>
      </c>
      <c r="K240" s="211" t="s">
        <v>527</v>
      </c>
      <c r="L240" s="211" t="s">
        <v>797</v>
      </c>
    </row>
    <row r="241" spans="1:12" s="211" customFormat="1" x14ac:dyDescent="0.25">
      <c r="A241" s="211" t="s">
        <v>117</v>
      </c>
      <c r="B241" s="211">
        <v>794</v>
      </c>
      <c r="C241" s="211" t="s">
        <v>432</v>
      </c>
      <c r="D241" s="211">
        <v>3185048</v>
      </c>
      <c r="E241" s="218">
        <v>1040</v>
      </c>
      <c r="G241" s="211">
        <v>1004</v>
      </c>
      <c r="H241" s="218" t="s">
        <v>778</v>
      </c>
      <c r="I241" s="211" t="s">
        <v>951</v>
      </c>
      <c r="J241" s="212" t="s">
        <v>638</v>
      </c>
      <c r="K241" s="211" t="s">
        <v>527</v>
      </c>
      <c r="L241" s="211" t="s">
        <v>796</v>
      </c>
    </row>
    <row r="242" spans="1:12" s="211" customFormat="1" x14ac:dyDescent="0.25">
      <c r="A242" s="211" t="s">
        <v>117</v>
      </c>
      <c r="B242" s="211">
        <v>794</v>
      </c>
      <c r="C242" s="211" t="s">
        <v>432</v>
      </c>
      <c r="D242" s="211">
        <v>190882449</v>
      </c>
      <c r="E242" s="218">
        <v>1060</v>
      </c>
      <c r="F242" s="211">
        <v>1274</v>
      </c>
      <c r="G242" s="211">
        <v>1004</v>
      </c>
      <c r="H242" s="218" t="s">
        <v>778</v>
      </c>
      <c r="I242" s="211" t="s">
        <v>2964</v>
      </c>
      <c r="J242" s="212" t="s">
        <v>638</v>
      </c>
      <c r="K242" s="211" t="s">
        <v>527</v>
      </c>
      <c r="L242" s="211" t="s">
        <v>797</v>
      </c>
    </row>
    <row r="243" spans="1:12" s="211" customFormat="1" x14ac:dyDescent="0.25">
      <c r="A243" s="211" t="s">
        <v>117</v>
      </c>
      <c r="B243" s="211">
        <v>794</v>
      </c>
      <c r="C243" s="211" t="s">
        <v>432</v>
      </c>
      <c r="D243" s="211">
        <v>191283933</v>
      </c>
      <c r="E243" s="218">
        <v>1010</v>
      </c>
      <c r="G243" s="211">
        <v>1004</v>
      </c>
      <c r="H243" s="218" t="s">
        <v>525</v>
      </c>
      <c r="I243" s="211" t="s">
        <v>3398</v>
      </c>
      <c r="J243" s="212" t="s">
        <v>638</v>
      </c>
      <c r="K243" s="211" t="s">
        <v>748</v>
      </c>
      <c r="L243" s="211" t="s">
        <v>3426</v>
      </c>
    </row>
    <row r="244" spans="1:12" s="211" customFormat="1" x14ac:dyDescent="0.25">
      <c r="A244" s="211" t="s">
        <v>117</v>
      </c>
      <c r="B244" s="211">
        <v>794</v>
      </c>
      <c r="C244" s="211" t="s">
        <v>432</v>
      </c>
      <c r="D244" s="211">
        <v>191854501</v>
      </c>
      <c r="E244" s="218">
        <v>1060</v>
      </c>
      <c r="F244" s="211">
        <v>1242</v>
      </c>
      <c r="G244" s="211">
        <v>1003</v>
      </c>
      <c r="H244" s="218" t="s">
        <v>778</v>
      </c>
      <c r="I244" s="211" t="s">
        <v>3399</v>
      </c>
      <c r="J244" s="212" t="s">
        <v>638</v>
      </c>
      <c r="K244" s="211" t="s">
        <v>527</v>
      </c>
      <c r="L244" s="211" t="s">
        <v>797</v>
      </c>
    </row>
    <row r="245" spans="1:12" s="211" customFormat="1" x14ac:dyDescent="0.25">
      <c r="A245" s="211" t="s">
        <v>117</v>
      </c>
      <c r="B245" s="211">
        <v>794</v>
      </c>
      <c r="C245" s="211" t="s">
        <v>432</v>
      </c>
      <c r="D245" s="211">
        <v>191985103</v>
      </c>
      <c r="E245" s="218">
        <v>1080</v>
      </c>
      <c r="F245" s="211">
        <v>1242</v>
      </c>
      <c r="G245" s="211">
        <v>1004</v>
      </c>
      <c r="H245" s="218" t="s">
        <v>525</v>
      </c>
      <c r="I245" s="211" t="s">
        <v>3088</v>
      </c>
      <c r="J245" s="212" t="s">
        <v>638</v>
      </c>
      <c r="K245" s="211" t="s">
        <v>527</v>
      </c>
      <c r="L245" s="211" t="s">
        <v>798</v>
      </c>
    </row>
    <row r="246" spans="1:12" s="211" customFormat="1" x14ac:dyDescent="0.25">
      <c r="A246" s="211" t="s">
        <v>117</v>
      </c>
      <c r="B246" s="211">
        <v>794</v>
      </c>
      <c r="C246" s="211" t="s">
        <v>432</v>
      </c>
      <c r="D246" s="211">
        <v>192037363</v>
      </c>
      <c r="E246" s="218">
        <v>1060</v>
      </c>
      <c r="F246" s="211">
        <v>1274</v>
      </c>
      <c r="G246" s="211">
        <v>1004</v>
      </c>
      <c r="H246" s="218" t="s">
        <v>778</v>
      </c>
      <c r="I246" s="211" t="s">
        <v>3400</v>
      </c>
      <c r="J246" s="212" t="s">
        <v>638</v>
      </c>
      <c r="K246" s="211" t="s">
        <v>527</v>
      </c>
      <c r="L246" s="211" t="s">
        <v>797</v>
      </c>
    </row>
    <row r="247" spans="1:12" s="211" customFormat="1" x14ac:dyDescent="0.25">
      <c r="A247" s="211" t="s">
        <v>117</v>
      </c>
      <c r="B247" s="211">
        <v>841</v>
      </c>
      <c r="C247" s="211" t="s">
        <v>433</v>
      </c>
      <c r="D247" s="211">
        <v>191829694</v>
      </c>
      <c r="E247" s="218">
        <v>1060</v>
      </c>
      <c r="F247" s="211">
        <v>1252</v>
      </c>
      <c r="G247" s="211">
        <v>1004</v>
      </c>
      <c r="H247" s="218" t="s">
        <v>778</v>
      </c>
      <c r="I247" s="211" t="s">
        <v>3809</v>
      </c>
      <c r="J247" s="212" t="s">
        <v>638</v>
      </c>
      <c r="K247" s="211" t="s">
        <v>527</v>
      </c>
      <c r="L247" s="211" t="s">
        <v>3427</v>
      </c>
    </row>
    <row r="248" spans="1:12" s="211" customFormat="1" x14ac:dyDescent="0.25">
      <c r="A248" s="211" t="s">
        <v>117</v>
      </c>
      <c r="B248" s="211">
        <v>843</v>
      </c>
      <c r="C248" s="211" t="s">
        <v>435</v>
      </c>
      <c r="D248" s="211">
        <v>191968188</v>
      </c>
      <c r="E248" s="218">
        <v>1060</v>
      </c>
      <c r="F248" s="211">
        <v>1242</v>
      </c>
      <c r="G248" s="211">
        <v>1004</v>
      </c>
      <c r="H248" s="218" t="s">
        <v>778</v>
      </c>
      <c r="I248" s="211" t="s">
        <v>2906</v>
      </c>
      <c r="J248" s="212" t="s">
        <v>638</v>
      </c>
      <c r="K248" s="211" t="s">
        <v>527</v>
      </c>
      <c r="L248" s="211" t="s">
        <v>797</v>
      </c>
    </row>
    <row r="249" spans="1:12" s="211" customFormat="1" x14ac:dyDescent="0.25">
      <c r="A249" s="211" t="s">
        <v>117</v>
      </c>
      <c r="B249" s="211">
        <v>853</v>
      </c>
      <c r="C249" s="211" t="s">
        <v>437</v>
      </c>
      <c r="D249" s="211">
        <v>191975049</v>
      </c>
      <c r="E249" s="218">
        <v>1060</v>
      </c>
      <c r="F249" s="211">
        <v>1242</v>
      </c>
      <c r="G249" s="211">
        <v>1004</v>
      </c>
      <c r="H249" s="218" t="s">
        <v>778</v>
      </c>
      <c r="I249" s="211" t="s">
        <v>3089</v>
      </c>
      <c r="J249" s="212" t="s">
        <v>638</v>
      </c>
      <c r="K249" s="211" t="s">
        <v>527</v>
      </c>
      <c r="L249" s="211" t="s">
        <v>797</v>
      </c>
    </row>
    <row r="250" spans="1:12" s="211" customFormat="1" x14ac:dyDescent="0.25">
      <c r="A250" s="211" t="s">
        <v>117</v>
      </c>
      <c r="B250" s="211">
        <v>855</v>
      </c>
      <c r="C250" s="211" t="s">
        <v>438</v>
      </c>
      <c r="D250" s="211">
        <v>191435812</v>
      </c>
      <c r="E250" s="218">
        <v>1010</v>
      </c>
      <c r="G250" s="211">
        <v>1004</v>
      </c>
      <c r="H250" s="218" t="s">
        <v>525</v>
      </c>
      <c r="I250" s="211" t="s">
        <v>821</v>
      </c>
      <c r="J250" s="212" t="s">
        <v>638</v>
      </c>
      <c r="K250" s="211" t="s">
        <v>748</v>
      </c>
      <c r="L250" s="211" t="s">
        <v>822</v>
      </c>
    </row>
    <row r="251" spans="1:12" s="211" customFormat="1" x14ac:dyDescent="0.25">
      <c r="A251" s="211" t="s">
        <v>117</v>
      </c>
      <c r="B251" s="211">
        <v>861</v>
      </c>
      <c r="C251" s="211" t="s">
        <v>439</v>
      </c>
      <c r="D251" s="211">
        <v>191908815</v>
      </c>
      <c r="E251" s="218">
        <v>1060</v>
      </c>
      <c r="F251" s="211">
        <v>1271</v>
      </c>
      <c r="G251" s="211">
        <v>1004</v>
      </c>
      <c r="H251" s="218" t="s">
        <v>778</v>
      </c>
      <c r="I251" s="211" t="s">
        <v>2686</v>
      </c>
      <c r="J251" s="212" t="s">
        <v>638</v>
      </c>
      <c r="K251" s="211" t="s">
        <v>527</v>
      </c>
      <c r="L251" s="211" t="s">
        <v>797</v>
      </c>
    </row>
    <row r="252" spans="1:12" s="211" customFormat="1" x14ac:dyDescent="0.25">
      <c r="A252" s="211" t="s">
        <v>117</v>
      </c>
      <c r="B252" s="211">
        <v>867</v>
      </c>
      <c r="C252" s="211" t="s">
        <v>442</v>
      </c>
      <c r="D252" s="211">
        <v>191956183</v>
      </c>
      <c r="E252" s="218">
        <v>1010</v>
      </c>
      <c r="G252" s="211">
        <v>1004</v>
      </c>
      <c r="H252" s="218" t="s">
        <v>778</v>
      </c>
      <c r="I252" s="211" t="s">
        <v>3173</v>
      </c>
      <c r="J252" s="212" t="s">
        <v>638</v>
      </c>
      <c r="K252" s="211" t="s">
        <v>748</v>
      </c>
      <c r="L252" s="211" t="s">
        <v>3194</v>
      </c>
    </row>
    <row r="253" spans="1:12" s="211" customFormat="1" x14ac:dyDescent="0.25">
      <c r="A253" s="211" t="s">
        <v>117</v>
      </c>
      <c r="B253" s="211">
        <v>867</v>
      </c>
      <c r="C253" s="211" t="s">
        <v>442</v>
      </c>
      <c r="D253" s="211">
        <v>191956192</v>
      </c>
      <c r="E253" s="218">
        <v>1010</v>
      </c>
      <c r="G253" s="211">
        <v>1004</v>
      </c>
      <c r="H253" s="218" t="s">
        <v>778</v>
      </c>
      <c r="I253" s="211" t="s">
        <v>3174</v>
      </c>
      <c r="J253" s="212" t="s">
        <v>638</v>
      </c>
      <c r="K253" s="211" t="s">
        <v>748</v>
      </c>
      <c r="L253" s="211" t="s">
        <v>3195</v>
      </c>
    </row>
    <row r="254" spans="1:12" s="211" customFormat="1" x14ac:dyDescent="0.25">
      <c r="A254" s="211" t="s">
        <v>117</v>
      </c>
      <c r="B254" s="211">
        <v>869</v>
      </c>
      <c r="C254" s="211" t="s">
        <v>444</v>
      </c>
      <c r="D254" s="211">
        <v>191989230</v>
      </c>
      <c r="E254" s="218">
        <v>1060</v>
      </c>
      <c r="F254" s="211">
        <v>1271</v>
      </c>
      <c r="G254" s="211">
        <v>1004</v>
      </c>
      <c r="H254" s="218" t="s">
        <v>778</v>
      </c>
      <c r="I254" s="211" t="s">
        <v>2813</v>
      </c>
      <c r="J254" s="212" t="s">
        <v>638</v>
      </c>
      <c r="K254" s="211" t="s">
        <v>527</v>
      </c>
      <c r="L254" s="211" t="s">
        <v>797</v>
      </c>
    </row>
    <row r="255" spans="1:12" s="211" customFormat="1" x14ac:dyDescent="0.25">
      <c r="A255" s="211" t="s">
        <v>117</v>
      </c>
      <c r="B255" s="211">
        <v>869</v>
      </c>
      <c r="C255" s="211" t="s">
        <v>444</v>
      </c>
      <c r="D255" s="211">
        <v>504025641</v>
      </c>
      <c r="E255" s="218">
        <v>1060</v>
      </c>
      <c r="F255" s="211">
        <v>1274</v>
      </c>
      <c r="G255" s="211">
        <v>1004</v>
      </c>
      <c r="H255" s="218" t="s">
        <v>778</v>
      </c>
      <c r="I255" s="211" t="s">
        <v>2864</v>
      </c>
      <c r="J255" s="212" t="s">
        <v>638</v>
      </c>
      <c r="K255" s="211" t="s">
        <v>527</v>
      </c>
      <c r="L255" s="211" t="s">
        <v>797</v>
      </c>
    </row>
    <row r="256" spans="1:12" s="211" customFormat="1" x14ac:dyDescent="0.25">
      <c r="A256" s="211" t="s">
        <v>117</v>
      </c>
      <c r="B256" s="211">
        <v>872</v>
      </c>
      <c r="C256" s="211" t="s">
        <v>446</v>
      </c>
      <c r="D256" s="211">
        <v>191957161</v>
      </c>
      <c r="E256" s="218">
        <v>1060</v>
      </c>
      <c r="F256" s="211">
        <v>1220</v>
      </c>
      <c r="G256" s="211">
        <v>1004</v>
      </c>
      <c r="H256" s="218" t="s">
        <v>778</v>
      </c>
      <c r="I256" s="211" t="s">
        <v>770</v>
      </c>
      <c r="J256" s="212" t="s">
        <v>638</v>
      </c>
      <c r="K256" s="211" t="s">
        <v>527</v>
      </c>
      <c r="L256" s="211" t="s">
        <v>797</v>
      </c>
    </row>
    <row r="257" spans="1:12" s="211" customFormat="1" x14ac:dyDescent="0.25">
      <c r="A257" s="211" t="s">
        <v>117</v>
      </c>
      <c r="B257" s="211">
        <v>877</v>
      </c>
      <c r="C257" s="211" t="s">
        <v>447</v>
      </c>
      <c r="D257" s="211">
        <v>504025708</v>
      </c>
      <c r="E257" s="218">
        <v>1080</v>
      </c>
      <c r="F257" s="211">
        <v>1271</v>
      </c>
      <c r="G257" s="211">
        <v>1004</v>
      </c>
      <c r="H257" s="218" t="s">
        <v>525</v>
      </c>
      <c r="I257" s="211" t="s">
        <v>3566</v>
      </c>
      <c r="J257" s="212" t="s">
        <v>638</v>
      </c>
      <c r="K257" s="211" t="s">
        <v>527</v>
      </c>
      <c r="L257" s="211" t="s">
        <v>798</v>
      </c>
    </row>
    <row r="258" spans="1:12" s="211" customFormat="1" x14ac:dyDescent="0.25">
      <c r="A258" s="211" t="s">
        <v>117</v>
      </c>
      <c r="B258" s="211">
        <v>877</v>
      </c>
      <c r="C258" s="211" t="s">
        <v>447</v>
      </c>
      <c r="D258" s="211">
        <v>504025730</v>
      </c>
      <c r="E258" s="218">
        <v>1080</v>
      </c>
      <c r="F258" s="211">
        <v>1251</v>
      </c>
      <c r="G258" s="211">
        <v>1004</v>
      </c>
      <c r="H258" s="218" t="s">
        <v>525</v>
      </c>
      <c r="I258" s="211" t="s">
        <v>3567</v>
      </c>
      <c r="J258" s="212" t="s">
        <v>638</v>
      </c>
      <c r="K258" s="211" t="s">
        <v>527</v>
      </c>
      <c r="L258" s="211" t="s">
        <v>798</v>
      </c>
    </row>
    <row r="259" spans="1:12" s="211" customFormat="1" x14ac:dyDescent="0.25">
      <c r="A259" s="211" t="s">
        <v>117</v>
      </c>
      <c r="B259" s="211">
        <v>877</v>
      </c>
      <c r="C259" s="211" t="s">
        <v>447</v>
      </c>
      <c r="D259" s="211">
        <v>504025813</v>
      </c>
      <c r="E259" s="218">
        <v>1080</v>
      </c>
      <c r="F259" s="211">
        <v>1271</v>
      </c>
      <c r="G259" s="211">
        <v>1004</v>
      </c>
      <c r="H259" s="218" t="s">
        <v>525</v>
      </c>
      <c r="I259" s="211" t="s">
        <v>3568</v>
      </c>
      <c r="J259" s="212" t="s">
        <v>638</v>
      </c>
      <c r="K259" s="211" t="s">
        <v>527</v>
      </c>
      <c r="L259" s="211" t="s">
        <v>798</v>
      </c>
    </row>
    <row r="260" spans="1:12" s="211" customFormat="1" x14ac:dyDescent="0.25">
      <c r="A260" s="211" t="s">
        <v>117</v>
      </c>
      <c r="B260" s="211">
        <v>877</v>
      </c>
      <c r="C260" s="211" t="s">
        <v>447</v>
      </c>
      <c r="D260" s="211">
        <v>504025844</v>
      </c>
      <c r="E260" s="218">
        <v>1080</v>
      </c>
      <c r="F260" s="211">
        <v>1271</v>
      </c>
      <c r="G260" s="211">
        <v>1004</v>
      </c>
      <c r="H260" s="218" t="s">
        <v>525</v>
      </c>
      <c r="I260" s="211" t="s">
        <v>3569</v>
      </c>
      <c r="J260" s="212" t="s">
        <v>638</v>
      </c>
      <c r="K260" s="211" t="s">
        <v>527</v>
      </c>
      <c r="L260" s="211" t="s">
        <v>798</v>
      </c>
    </row>
    <row r="261" spans="1:12" s="211" customFormat="1" x14ac:dyDescent="0.25">
      <c r="A261" s="211" t="s">
        <v>117</v>
      </c>
      <c r="B261" s="211">
        <v>877</v>
      </c>
      <c r="C261" s="211" t="s">
        <v>447</v>
      </c>
      <c r="D261" s="211">
        <v>504025868</v>
      </c>
      <c r="E261" s="218">
        <v>1080</v>
      </c>
      <c r="F261" s="211">
        <v>1242</v>
      </c>
      <c r="G261" s="211">
        <v>1004</v>
      </c>
      <c r="H261" s="218" t="s">
        <v>525</v>
      </c>
      <c r="I261" s="211" t="s">
        <v>3570</v>
      </c>
      <c r="J261" s="212" t="s">
        <v>638</v>
      </c>
      <c r="K261" s="211" t="s">
        <v>527</v>
      </c>
      <c r="L261" s="211" t="s">
        <v>798</v>
      </c>
    </row>
    <row r="262" spans="1:12" s="211" customFormat="1" x14ac:dyDescent="0.25">
      <c r="A262" s="211" t="s">
        <v>117</v>
      </c>
      <c r="B262" s="211">
        <v>877</v>
      </c>
      <c r="C262" s="211" t="s">
        <v>447</v>
      </c>
      <c r="D262" s="211">
        <v>504025885</v>
      </c>
      <c r="E262" s="218">
        <v>1080</v>
      </c>
      <c r="G262" s="211">
        <v>1004</v>
      </c>
      <c r="H262" s="218" t="s">
        <v>525</v>
      </c>
      <c r="I262" s="211" t="s">
        <v>3571</v>
      </c>
      <c r="J262" s="212" t="s">
        <v>638</v>
      </c>
      <c r="K262" s="211" t="s">
        <v>527</v>
      </c>
      <c r="L262" s="211" t="s">
        <v>798</v>
      </c>
    </row>
    <row r="263" spans="1:12" s="211" customFormat="1" x14ac:dyDescent="0.25">
      <c r="A263" s="211" t="s">
        <v>117</v>
      </c>
      <c r="B263" s="211">
        <v>879</v>
      </c>
      <c r="C263" s="211" t="s">
        <v>448</v>
      </c>
      <c r="D263" s="211">
        <v>502115247</v>
      </c>
      <c r="E263" s="218">
        <v>1060</v>
      </c>
      <c r="F263" s="211">
        <v>1271</v>
      </c>
      <c r="G263" s="211">
        <v>1004</v>
      </c>
      <c r="H263" s="218" t="s">
        <v>778</v>
      </c>
      <c r="I263" s="211" t="s">
        <v>2814</v>
      </c>
      <c r="J263" s="212" t="s">
        <v>638</v>
      </c>
      <c r="K263" s="211" t="s">
        <v>527</v>
      </c>
      <c r="L263" s="211" t="s">
        <v>797</v>
      </c>
    </row>
    <row r="264" spans="1:12" s="211" customFormat="1" x14ac:dyDescent="0.25">
      <c r="A264" s="211" t="s">
        <v>117</v>
      </c>
      <c r="B264" s="211">
        <v>884</v>
      </c>
      <c r="C264" s="211" t="s">
        <v>451</v>
      </c>
      <c r="D264" s="211">
        <v>191950032</v>
      </c>
      <c r="E264" s="218">
        <v>1060</v>
      </c>
      <c r="F264" s="211">
        <v>1274</v>
      </c>
      <c r="G264" s="211">
        <v>1004</v>
      </c>
      <c r="H264" s="218" t="s">
        <v>778</v>
      </c>
      <c r="I264" s="211" t="s">
        <v>2627</v>
      </c>
      <c r="J264" s="212" t="s">
        <v>638</v>
      </c>
      <c r="K264" s="211" t="s">
        <v>527</v>
      </c>
      <c r="L264" s="211" t="s">
        <v>797</v>
      </c>
    </row>
    <row r="265" spans="1:12" s="211" customFormat="1" x14ac:dyDescent="0.25">
      <c r="A265" s="211" t="s">
        <v>117</v>
      </c>
      <c r="B265" s="211">
        <v>884</v>
      </c>
      <c r="C265" s="211" t="s">
        <v>451</v>
      </c>
      <c r="D265" s="211">
        <v>504025995</v>
      </c>
      <c r="E265" s="218">
        <v>1060</v>
      </c>
      <c r="F265" s="211">
        <v>1271</v>
      </c>
      <c r="G265" s="211">
        <v>1004</v>
      </c>
      <c r="H265" s="218" t="s">
        <v>778</v>
      </c>
      <c r="I265" s="211" t="s">
        <v>2628</v>
      </c>
      <c r="J265" s="212" t="s">
        <v>638</v>
      </c>
      <c r="K265" s="211" t="s">
        <v>527</v>
      </c>
      <c r="L265" s="211" t="s">
        <v>797</v>
      </c>
    </row>
    <row r="266" spans="1:12" s="211" customFormat="1" x14ac:dyDescent="0.25">
      <c r="A266" s="211" t="s">
        <v>117</v>
      </c>
      <c r="B266" s="211">
        <v>886</v>
      </c>
      <c r="C266" s="211" t="s">
        <v>453</v>
      </c>
      <c r="D266" s="211">
        <v>191896309</v>
      </c>
      <c r="E266" s="218">
        <v>1060</v>
      </c>
      <c r="G266" s="211">
        <v>1004</v>
      </c>
      <c r="H266" s="218" t="s">
        <v>778</v>
      </c>
      <c r="I266" s="211" t="s">
        <v>3090</v>
      </c>
      <c r="J266" s="212" t="s">
        <v>638</v>
      </c>
      <c r="K266" s="211" t="s">
        <v>527</v>
      </c>
      <c r="L266" s="211" t="s">
        <v>797</v>
      </c>
    </row>
    <row r="267" spans="1:12" s="211" customFormat="1" x14ac:dyDescent="0.25">
      <c r="A267" s="211" t="s">
        <v>117</v>
      </c>
      <c r="B267" s="211">
        <v>886</v>
      </c>
      <c r="C267" s="211" t="s">
        <v>453</v>
      </c>
      <c r="D267" s="211">
        <v>192036754</v>
      </c>
      <c r="E267" s="218">
        <v>1060</v>
      </c>
      <c r="F267" s="211">
        <v>1252</v>
      </c>
      <c r="G267" s="211">
        <v>1004</v>
      </c>
      <c r="H267" s="218" t="s">
        <v>778</v>
      </c>
      <c r="I267" s="211" t="s">
        <v>2687</v>
      </c>
      <c r="J267" s="212" t="s">
        <v>638</v>
      </c>
      <c r="K267" s="211" t="s">
        <v>527</v>
      </c>
      <c r="L267" s="211" t="s">
        <v>797</v>
      </c>
    </row>
    <row r="268" spans="1:12" s="211" customFormat="1" x14ac:dyDescent="0.25">
      <c r="A268" s="211" t="s">
        <v>117</v>
      </c>
      <c r="B268" s="211">
        <v>889</v>
      </c>
      <c r="C268" s="211" t="s">
        <v>455</v>
      </c>
      <c r="D268" s="211">
        <v>192035226</v>
      </c>
      <c r="E268" s="218">
        <v>1060</v>
      </c>
      <c r="F268" s="211">
        <v>1271</v>
      </c>
      <c r="G268" s="211">
        <v>1004</v>
      </c>
      <c r="H268" s="218" t="s">
        <v>778</v>
      </c>
      <c r="I268" s="211" t="s">
        <v>2585</v>
      </c>
      <c r="J268" s="212" t="s">
        <v>638</v>
      </c>
      <c r="K268" s="211" t="s">
        <v>527</v>
      </c>
      <c r="L268" s="211" t="s">
        <v>797</v>
      </c>
    </row>
    <row r="269" spans="1:12" s="211" customFormat="1" x14ac:dyDescent="0.25">
      <c r="A269" s="211" t="s">
        <v>117</v>
      </c>
      <c r="B269" s="211">
        <v>901</v>
      </c>
      <c r="C269" s="211" t="s">
        <v>456</v>
      </c>
      <c r="D269" s="211">
        <v>1417503</v>
      </c>
      <c r="E269" s="218">
        <v>1030</v>
      </c>
      <c r="F269" s="211">
        <v>1110</v>
      </c>
      <c r="G269" s="211">
        <v>1004</v>
      </c>
      <c r="H269" s="218" t="s">
        <v>778</v>
      </c>
      <c r="I269" s="211" t="s">
        <v>2081</v>
      </c>
      <c r="J269" s="212" t="s">
        <v>638</v>
      </c>
      <c r="K269" s="211" t="s">
        <v>527</v>
      </c>
      <c r="L269" s="211" t="s">
        <v>801</v>
      </c>
    </row>
    <row r="270" spans="1:12" s="211" customFormat="1" x14ac:dyDescent="0.25">
      <c r="A270" s="211" t="s">
        <v>117</v>
      </c>
      <c r="B270" s="211">
        <v>901</v>
      </c>
      <c r="C270" s="211" t="s">
        <v>456</v>
      </c>
      <c r="D270" s="211">
        <v>191610255</v>
      </c>
      <c r="E270" s="218">
        <v>1060</v>
      </c>
      <c r="F270" s="211">
        <v>1251</v>
      </c>
      <c r="G270" s="211">
        <v>1004</v>
      </c>
      <c r="H270" s="218" t="s">
        <v>778</v>
      </c>
      <c r="I270" s="211" t="s">
        <v>2082</v>
      </c>
      <c r="J270" s="212" t="s">
        <v>638</v>
      </c>
      <c r="K270" s="211" t="s">
        <v>527</v>
      </c>
      <c r="L270" s="211" t="s">
        <v>797</v>
      </c>
    </row>
    <row r="271" spans="1:12" s="211" customFormat="1" x14ac:dyDescent="0.25">
      <c r="A271" s="211" t="s">
        <v>117</v>
      </c>
      <c r="B271" s="211">
        <v>902</v>
      </c>
      <c r="C271" s="211" t="s">
        <v>457</v>
      </c>
      <c r="D271" s="211">
        <v>191931195</v>
      </c>
      <c r="E271" s="218">
        <v>1010</v>
      </c>
      <c r="G271" s="211">
        <v>1004</v>
      </c>
      <c r="H271" s="218" t="s">
        <v>525</v>
      </c>
      <c r="I271" s="211" t="s">
        <v>817</v>
      </c>
      <c r="J271" s="212" t="s">
        <v>638</v>
      </c>
      <c r="K271" s="211" t="s">
        <v>748</v>
      </c>
      <c r="L271" s="211" t="s">
        <v>818</v>
      </c>
    </row>
    <row r="272" spans="1:12" s="211" customFormat="1" x14ac:dyDescent="0.25">
      <c r="A272" s="211" t="s">
        <v>117</v>
      </c>
      <c r="B272" s="211">
        <v>902</v>
      </c>
      <c r="C272" s="211" t="s">
        <v>457</v>
      </c>
      <c r="D272" s="211">
        <v>502252844</v>
      </c>
      <c r="E272" s="218">
        <v>1060</v>
      </c>
      <c r="G272" s="211">
        <v>1004</v>
      </c>
      <c r="H272" s="218" t="s">
        <v>778</v>
      </c>
      <c r="I272" s="211" t="s">
        <v>3679</v>
      </c>
      <c r="J272" s="212" t="s">
        <v>638</v>
      </c>
      <c r="K272" s="211" t="s">
        <v>527</v>
      </c>
      <c r="L272" s="211" t="s">
        <v>797</v>
      </c>
    </row>
    <row r="273" spans="1:12" s="211" customFormat="1" x14ac:dyDescent="0.25">
      <c r="A273" s="211" t="s">
        <v>117</v>
      </c>
      <c r="B273" s="211">
        <v>905</v>
      </c>
      <c r="C273" s="211" t="s">
        <v>460</v>
      </c>
      <c r="D273" s="211">
        <v>502255065</v>
      </c>
      <c r="E273" s="218">
        <v>1080</v>
      </c>
      <c r="G273" s="211">
        <v>1004</v>
      </c>
      <c r="H273" s="218" t="s">
        <v>525</v>
      </c>
      <c r="I273" s="211" t="s">
        <v>2727</v>
      </c>
      <c r="J273" s="212" t="s">
        <v>638</v>
      </c>
      <c r="K273" s="211" t="s">
        <v>527</v>
      </c>
      <c r="L273" s="211" t="s">
        <v>798</v>
      </c>
    </row>
    <row r="274" spans="1:12" s="211" customFormat="1" x14ac:dyDescent="0.25">
      <c r="A274" s="211" t="s">
        <v>117</v>
      </c>
      <c r="B274" s="211">
        <v>907</v>
      </c>
      <c r="C274" s="211" t="s">
        <v>462</v>
      </c>
      <c r="D274" s="211">
        <v>190629611</v>
      </c>
      <c r="E274" s="218">
        <v>1060</v>
      </c>
      <c r="F274" s="211">
        <v>1251</v>
      </c>
      <c r="G274" s="211">
        <v>1004</v>
      </c>
      <c r="H274" s="218" t="s">
        <v>778</v>
      </c>
      <c r="I274" s="211" t="s">
        <v>771</v>
      </c>
      <c r="J274" s="212" t="s">
        <v>638</v>
      </c>
      <c r="K274" s="211" t="s">
        <v>527</v>
      </c>
      <c r="L274" s="211" t="s">
        <v>797</v>
      </c>
    </row>
    <row r="275" spans="1:12" s="211" customFormat="1" x14ac:dyDescent="0.25">
      <c r="A275" s="211" t="s">
        <v>117</v>
      </c>
      <c r="B275" s="211">
        <v>908</v>
      </c>
      <c r="C275" s="211" t="s">
        <v>463</v>
      </c>
      <c r="D275" s="211">
        <v>502098466</v>
      </c>
      <c r="E275" s="218">
        <v>1080</v>
      </c>
      <c r="F275" s="211">
        <v>1251</v>
      </c>
      <c r="G275" s="211">
        <v>1004</v>
      </c>
      <c r="H275" s="218" t="s">
        <v>525</v>
      </c>
      <c r="I275" s="211" t="s">
        <v>3810</v>
      </c>
      <c r="J275" s="212" t="s">
        <v>638</v>
      </c>
      <c r="K275" s="211" t="s">
        <v>527</v>
      </c>
      <c r="L275" s="211" t="s">
        <v>798</v>
      </c>
    </row>
    <row r="276" spans="1:12" s="211" customFormat="1" x14ac:dyDescent="0.25">
      <c r="A276" s="211" t="s">
        <v>117</v>
      </c>
      <c r="B276" s="211">
        <v>908</v>
      </c>
      <c r="C276" s="211" t="s">
        <v>463</v>
      </c>
      <c r="D276" s="211">
        <v>504185749</v>
      </c>
      <c r="E276" s="218">
        <v>1060</v>
      </c>
      <c r="F276" s="211">
        <v>1252</v>
      </c>
      <c r="G276" s="211">
        <v>1004</v>
      </c>
      <c r="H276" s="218" t="s">
        <v>778</v>
      </c>
      <c r="I276" s="211" t="s">
        <v>3680</v>
      </c>
      <c r="J276" s="212" t="s">
        <v>638</v>
      </c>
      <c r="K276" s="211" t="s">
        <v>527</v>
      </c>
      <c r="L276" s="211" t="s">
        <v>3428</v>
      </c>
    </row>
    <row r="277" spans="1:12" s="211" customFormat="1" x14ac:dyDescent="0.25">
      <c r="A277" s="211" t="s">
        <v>117</v>
      </c>
      <c r="B277" s="211">
        <v>909</v>
      </c>
      <c r="C277" s="211" t="s">
        <v>464</v>
      </c>
      <c r="D277" s="211">
        <v>191954365</v>
      </c>
      <c r="E277" s="218">
        <v>1060</v>
      </c>
      <c r="F277" s="211">
        <v>1242</v>
      </c>
      <c r="G277" s="211">
        <v>1004</v>
      </c>
      <c r="H277" s="218" t="s">
        <v>778</v>
      </c>
      <c r="I277" s="211" t="s">
        <v>2728</v>
      </c>
      <c r="J277" s="212" t="s">
        <v>638</v>
      </c>
      <c r="K277" s="211" t="s">
        <v>527</v>
      </c>
      <c r="L277" s="211" t="s">
        <v>797</v>
      </c>
    </row>
    <row r="278" spans="1:12" s="211" customFormat="1" x14ac:dyDescent="0.25">
      <c r="A278" s="211" t="s">
        <v>117</v>
      </c>
      <c r="B278" s="211">
        <v>909</v>
      </c>
      <c r="C278" s="211" t="s">
        <v>464</v>
      </c>
      <c r="D278" s="211">
        <v>192038817</v>
      </c>
      <c r="E278" s="218">
        <v>1080</v>
      </c>
      <c r="F278" s="211">
        <v>1274</v>
      </c>
      <c r="G278" s="211">
        <v>1004</v>
      </c>
      <c r="H278" s="218" t="s">
        <v>525</v>
      </c>
      <c r="I278" s="211" t="s">
        <v>2688</v>
      </c>
      <c r="J278" s="212" t="s">
        <v>638</v>
      </c>
      <c r="K278" s="211" t="s">
        <v>527</v>
      </c>
      <c r="L278" s="211" t="s">
        <v>798</v>
      </c>
    </row>
    <row r="279" spans="1:12" s="211" customFormat="1" x14ac:dyDescent="0.25">
      <c r="A279" s="211" t="s">
        <v>117</v>
      </c>
      <c r="B279" s="211">
        <v>909</v>
      </c>
      <c r="C279" s="211" t="s">
        <v>464</v>
      </c>
      <c r="D279" s="211">
        <v>192038821</v>
      </c>
      <c r="E279" s="218">
        <v>1080</v>
      </c>
      <c r="F279" s="211">
        <v>1274</v>
      </c>
      <c r="G279" s="211">
        <v>1004</v>
      </c>
      <c r="H279" s="218" t="s">
        <v>525</v>
      </c>
      <c r="I279" s="211" t="s">
        <v>2689</v>
      </c>
      <c r="J279" s="212" t="s">
        <v>638</v>
      </c>
      <c r="K279" s="211" t="s">
        <v>527</v>
      </c>
      <c r="L279" s="211" t="s">
        <v>798</v>
      </c>
    </row>
    <row r="280" spans="1:12" s="211" customFormat="1" x14ac:dyDescent="0.25">
      <c r="A280" s="211" t="s">
        <v>117</v>
      </c>
      <c r="B280" s="211">
        <v>909</v>
      </c>
      <c r="C280" s="211" t="s">
        <v>464</v>
      </c>
      <c r="D280" s="211">
        <v>192038822</v>
      </c>
      <c r="E280" s="218">
        <v>1080</v>
      </c>
      <c r="G280" s="211">
        <v>1004</v>
      </c>
      <c r="H280" s="218" t="s">
        <v>525</v>
      </c>
      <c r="I280" s="211" t="s">
        <v>2815</v>
      </c>
      <c r="J280" s="212" t="s">
        <v>638</v>
      </c>
      <c r="K280" s="211" t="s">
        <v>527</v>
      </c>
      <c r="L280" s="211" t="s">
        <v>798</v>
      </c>
    </row>
    <row r="281" spans="1:12" s="211" customFormat="1" x14ac:dyDescent="0.25">
      <c r="A281" s="211" t="s">
        <v>117</v>
      </c>
      <c r="B281" s="211">
        <v>909</v>
      </c>
      <c r="C281" s="211" t="s">
        <v>464</v>
      </c>
      <c r="D281" s="211">
        <v>502276923</v>
      </c>
      <c r="E281" s="218">
        <v>1060</v>
      </c>
      <c r="F281" s="211">
        <v>1271</v>
      </c>
      <c r="G281" s="211">
        <v>1004</v>
      </c>
      <c r="H281" s="218" t="s">
        <v>778</v>
      </c>
      <c r="I281" s="211" t="s">
        <v>2816</v>
      </c>
      <c r="J281" s="212" t="s">
        <v>638</v>
      </c>
      <c r="K281" s="211" t="s">
        <v>527</v>
      </c>
      <c r="L281" s="211" t="s">
        <v>797</v>
      </c>
    </row>
    <row r="282" spans="1:12" s="211" customFormat="1" x14ac:dyDescent="0.25">
      <c r="A282" s="211" t="s">
        <v>117</v>
      </c>
      <c r="B282" s="211">
        <v>909</v>
      </c>
      <c r="C282" s="211" t="s">
        <v>464</v>
      </c>
      <c r="D282" s="211">
        <v>502277019</v>
      </c>
      <c r="E282" s="218">
        <v>1060</v>
      </c>
      <c r="G282" s="211">
        <v>1004</v>
      </c>
      <c r="H282" s="218" t="s">
        <v>778</v>
      </c>
      <c r="I282" s="211" t="s">
        <v>2865</v>
      </c>
      <c r="J282" s="212" t="s">
        <v>638</v>
      </c>
      <c r="K282" s="211" t="s">
        <v>527</v>
      </c>
      <c r="L282" s="211" t="s">
        <v>2844</v>
      </c>
    </row>
    <row r="283" spans="1:12" s="211" customFormat="1" x14ac:dyDescent="0.25">
      <c r="A283" s="211" t="s">
        <v>117</v>
      </c>
      <c r="B283" s="211">
        <v>909</v>
      </c>
      <c r="C283" s="211" t="s">
        <v>464</v>
      </c>
      <c r="D283" s="211">
        <v>502277020</v>
      </c>
      <c r="E283" s="218">
        <v>1060</v>
      </c>
      <c r="G283" s="211">
        <v>1004</v>
      </c>
      <c r="H283" s="218" t="s">
        <v>778</v>
      </c>
      <c r="I283" s="211" t="s">
        <v>2865</v>
      </c>
      <c r="J283" s="212" t="s">
        <v>638</v>
      </c>
      <c r="K283" s="211" t="s">
        <v>527</v>
      </c>
      <c r="L283" s="211" t="s">
        <v>2844</v>
      </c>
    </row>
    <row r="284" spans="1:12" s="211" customFormat="1" x14ac:dyDescent="0.25">
      <c r="A284" s="211" t="s">
        <v>117</v>
      </c>
      <c r="B284" s="211">
        <v>909</v>
      </c>
      <c r="C284" s="211" t="s">
        <v>464</v>
      </c>
      <c r="D284" s="211">
        <v>502277021</v>
      </c>
      <c r="E284" s="218">
        <v>1060</v>
      </c>
      <c r="G284" s="211">
        <v>1004</v>
      </c>
      <c r="H284" s="218" t="s">
        <v>778</v>
      </c>
      <c r="I284" s="211" t="s">
        <v>2865</v>
      </c>
      <c r="J284" s="212" t="s">
        <v>638</v>
      </c>
      <c r="K284" s="211" t="s">
        <v>527</v>
      </c>
      <c r="L284" s="211" t="s">
        <v>2844</v>
      </c>
    </row>
    <row r="285" spans="1:12" s="211" customFormat="1" x14ac:dyDescent="0.25">
      <c r="A285" s="211" t="s">
        <v>117</v>
      </c>
      <c r="B285" s="211">
        <v>922</v>
      </c>
      <c r="C285" s="211" t="s">
        <v>466</v>
      </c>
      <c r="D285" s="211">
        <v>191890639</v>
      </c>
      <c r="E285" s="218">
        <v>1080</v>
      </c>
      <c r="F285" s="211">
        <v>1271</v>
      </c>
      <c r="G285" s="211">
        <v>1004</v>
      </c>
      <c r="H285" s="218" t="s">
        <v>525</v>
      </c>
      <c r="I285" s="211" t="s">
        <v>3315</v>
      </c>
      <c r="J285" s="212" t="s">
        <v>638</v>
      </c>
      <c r="K285" s="211" t="s">
        <v>527</v>
      </c>
      <c r="L285" s="211" t="s">
        <v>798</v>
      </c>
    </row>
    <row r="286" spans="1:12" s="211" customFormat="1" x14ac:dyDescent="0.25">
      <c r="A286" s="211" t="s">
        <v>117</v>
      </c>
      <c r="B286" s="211">
        <v>928</v>
      </c>
      <c r="C286" s="211" t="s">
        <v>471</v>
      </c>
      <c r="D286" s="211">
        <v>191949613</v>
      </c>
      <c r="E286" s="218">
        <v>1080</v>
      </c>
      <c r="F286" s="211">
        <v>1271</v>
      </c>
      <c r="G286" s="211">
        <v>1004</v>
      </c>
      <c r="H286" s="218" t="s">
        <v>525</v>
      </c>
      <c r="I286" s="211" t="s">
        <v>2866</v>
      </c>
      <c r="J286" s="212" t="s">
        <v>638</v>
      </c>
      <c r="K286" s="211" t="s">
        <v>527</v>
      </c>
      <c r="L286" s="211" t="s">
        <v>798</v>
      </c>
    </row>
    <row r="287" spans="1:12" s="211" customFormat="1" x14ac:dyDescent="0.25">
      <c r="A287" s="211" t="s">
        <v>117</v>
      </c>
      <c r="B287" s="211">
        <v>928</v>
      </c>
      <c r="C287" s="211" t="s">
        <v>471</v>
      </c>
      <c r="D287" s="211">
        <v>191959095</v>
      </c>
      <c r="E287" s="218">
        <v>1060</v>
      </c>
      <c r="F287" s="211">
        <v>1242</v>
      </c>
      <c r="G287" s="211">
        <v>1004</v>
      </c>
      <c r="H287" s="218" t="s">
        <v>778</v>
      </c>
      <c r="I287" s="211" t="s">
        <v>2817</v>
      </c>
      <c r="J287" s="212" t="s">
        <v>638</v>
      </c>
      <c r="K287" s="211" t="s">
        <v>527</v>
      </c>
      <c r="L287" s="211" t="s">
        <v>797</v>
      </c>
    </row>
    <row r="288" spans="1:12" s="211" customFormat="1" x14ac:dyDescent="0.25">
      <c r="A288" s="211" t="s">
        <v>117</v>
      </c>
      <c r="B288" s="211">
        <v>928</v>
      </c>
      <c r="C288" s="211" t="s">
        <v>471</v>
      </c>
      <c r="D288" s="211">
        <v>192012622</v>
      </c>
      <c r="E288" s="218">
        <v>1060</v>
      </c>
      <c r="F288" s="211">
        <v>1242</v>
      </c>
      <c r="G288" s="211">
        <v>1004</v>
      </c>
      <c r="H288" s="218" t="s">
        <v>778</v>
      </c>
      <c r="I288" s="211" t="s">
        <v>2867</v>
      </c>
      <c r="J288" s="212" t="s">
        <v>638</v>
      </c>
      <c r="K288" s="211" t="s">
        <v>527</v>
      </c>
      <c r="L288" s="211" t="s">
        <v>797</v>
      </c>
    </row>
    <row r="289" spans="1:12" s="211" customFormat="1" x14ac:dyDescent="0.25">
      <c r="A289" s="211" t="s">
        <v>117</v>
      </c>
      <c r="B289" s="211">
        <v>928</v>
      </c>
      <c r="C289" s="211" t="s">
        <v>471</v>
      </c>
      <c r="D289" s="211">
        <v>192042859</v>
      </c>
      <c r="E289" s="218">
        <v>1060</v>
      </c>
      <c r="F289" s="211">
        <v>1252</v>
      </c>
      <c r="G289" s="211">
        <v>1004</v>
      </c>
      <c r="H289" s="218" t="s">
        <v>778</v>
      </c>
      <c r="I289" s="211" t="s">
        <v>3091</v>
      </c>
      <c r="J289" s="212" t="s">
        <v>638</v>
      </c>
      <c r="K289" s="211" t="s">
        <v>527</v>
      </c>
      <c r="L289" s="211" t="s">
        <v>797</v>
      </c>
    </row>
    <row r="290" spans="1:12" s="211" customFormat="1" x14ac:dyDescent="0.25">
      <c r="A290" s="211" t="s">
        <v>117</v>
      </c>
      <c r="B290" s="211">
        <v>931</v>
      </c>
      <c r="C290" s="211" t="s">
        <v>473</v>
      </c>
      <c r="D290" s="211">
        <v>191987009</v>
      </c>
      <c r="E290" s="218">
        <v>1060</v>
      </c>
      <c r="F290" s="211">
        <v>1271</v>
      </c>
      <c r="G290" s="211">
        <v>1004</v>
      </c>
      <c r="H290" s="218" t="s">
        <v>778</v>
      </c>
      <c r="I290" s="211" t="s">
        <v>2907</v>
      </c>
      <c r="J290" s="212" t="s">
        <v>638</v>
      </c>
      <c r="K290" s="211" t="s">
        <v>527</v>
      </c>
      <c r="L290" s="211" t="s">
        <v>797</v>
      </c>
    </row>
    <row r="291" spans="1:12" s="211" customFormat="1" x14ac:dyDescent="0.25">
      <c r="A291" s="211" t="s">
        <v>117</v>
      </c>
      <c r="B291" s="211">
        <v>938</v>
      </c>
      <c r="C291" s="211" t="s">
        <v>478</v>
      </c>
      <c r="D291" s="211">
        <v>191296930</v>
      </c>
      <c r="E291" s="218">
        <v>1060</v>
      </c>
      <c r="F291" s="211">
        <v>1261</v>
      </c>
      <c r="G291" s="211">
        <v>1004</v>
      </c>
      <c r="H291" s="218" t="s">
        <v>778</v>
      </c>
      <c r="I291" s="211" t="s">
        <v>772</v>
      </c>
      <c r="J291" s="212" t="s">
        <v>638</v>
      </c>
      <c r="K291" s="211" t="s">
        <v>527</v>
      </c>
      <c r="L291" s="211" t="s">
        <v>797</v>
      </c>
    </row>
    <row r="292" spans="1:12" s="211" customFormat="1" x14ac:dyDescent="0.25">
      <c r="A292" s="211" t="s">
        <v>117</v>
      </c>
      <c r="B292" s="211">
        <v>938</v>
      </c>
      <c r="C292" s="211" t="s">
        <v>478</v>
      </c>
      <c r="D292" s="211">
        <v>191970771</v>
      </c>
      <c r="E292" s="218">
        <v>1060</v>
      </c>
      <c r="F292" s="211">
        <v>1251</v>
      </c>
      <c r="G292" s="211">
        <v>1004</v>
      </c>
      <c r="H292" s="218" t="s">
        <v>778</v>
      </c>
      <c r="I292" s="211" t="s">
        <v>942</v>
      </c>
      <c r="J292" s="212" t="s">
        <v>638</v>
      </c>
      <c r="K292" s="211" t="s">
        <v>527</v>
      </c>
      <c r="L292" s="211" t="s">
        <v>797</v>
      </c>
    </row>
    <row r="293" spans="1:12" s="211" customFormat="1" x14ac:dyDescent="0.25">
      <c r="A293" s="211" t="s">
        <v>117</v>
      </c>
      <c r="B293" s="211">
        <v>938</v>
      </c>
      <c r="C293" s="211" t="s">
        <v>478</v>
      </c>
      <c r="D293" s="211">
        <v>502100792</v>
      </c>
      <c r="E293" s="218">
        <v>1060</v>
      </c>
      <c r="F293" s="211">
        <v>1251</v>
      </c>
      <c r="G293" s="211">
        <v>1004</v>
      </c>
      <c r="H293" s="218" t="s">
        <v>778</v>
      </c>
      <c r="I293" s="211" t="s">
        <v>1457</v>
      </c>
      <c r="J293" s="212" t="s">
        <v>638</v>
      </c>
      <c r="K293" s="211" t="s">
        <v>527</v>
      </c>
      <c r="L293" s="211" t="s">
        <v>797</v>
      </c>
    </row>
    <row r="294" spans="1:12" s="211" customFormat="1" x14ac:dyDescent="0.25">
      <c r="A294" s="211" t="s">
        <v>117</v>
      </c>
      <c r="B294" s="211">
        <v>939</v>
      </c>
      <c r="C294" s="211" t="s">
        <v>479</v>
      </c>
      <c r="D294" s="211">
        <v>191776679</v>
      </c>
      <c r="E294" s="218">
        <v>1080</v>
      </c>
      <c r="F294" s="211">
        <v>1242</v>
      </c>
      <c r="G294" s="211">
        <v>1004</v>
      </c>
      <c r="H294" s="218" t="s">
        <v>525</v>
      </c>
      <c r="I294" s="211" t="s">
        <v>3681</v>
      </c>
      <c r="J294" s="212" t="s">
        <v>638</v>
      </c>
      <c r="K294" s="211" t="s">
        <v>527</v>
      </c>
      <c r="L294" s="211" t="s">
        <v>798</v>
      </c>
    </row>
    <row r="295" spans="1:12" s="211" customFormat="1" x14ac:dyDescent="0.25">
      <c r="A295" s="211" t="s">
        <v>117</v>
      </c>
      <c r="B295" s="211">
        <v>939</v>
      </c>
      <c r="C295" s="211" t="s">
        <v>479</v>
      </c>
      <c r="D295" s="211">
        <v>191845999</v>
      </c>
      <c r="E295" s="218">
        <v>1060</v>
      </c>
      <c r="F295" s="211">
        <v>1242</v>
      </c>
      <c r="G295" s="211">
        <v>1004</v>
      </c>
      <c r="H295" s="218" t="s">
        <v>778</v>
      </c>
      <c r="I295" s="211" t="s">
        <v>3175</v>
      </c>
      <c r="J295" s="212" t="s">
        <v>638</v>
      </c>
      <c r="K295" s="211" t="s">
        <v>527</v>
      </c>
      <c r="L295" s="211" t="s">
        <v>797</v>
      </c>
    </row>
    <row r="296" spans="1:12" s="211" customFormat="1" x14ac:dyDescent="0.25">
      <c r="A296" s="211" t="s">
        <v>117</v>
      </c>
      <c r="B296" s="211">
        <v>939</v>
      </c>
      <c r="C296" s="211" t="s">
        <v>479</v>
      </c>
      <c r="D296" s="211">
        <v>192004273</v>
      </c>
      <c r="E296" s="218">
        <v>1060</v>
      </c>
      <c r="F296" s="211">
        <v>1242</v>
      </c>
      <c r="G296" s="211">
        <v>1004</v>
      </c>
      <c r="H296" s="218" t="s">
        <v>778</v>
      </c>
      <c r="I296" s="211" t="s">
        <v>3682</v>
      </c>
      <c r="J296" s="212" t="s">
        <v>638</v>
      </c>
      <c r="K296" s="211" t="s">
        <v>527</v>
      </c>
      <c r="L296" s="211" t="s">
        <v>797</v>
      </c>
    </row>
    <row r="297" spans="1:12" s="211" customFormat="1" x14ac:dyDescent="0.25">
      <c r="A297" s="211" t="s">
        <v>117</v>
      </c>
      <c r="B297" s="211">
        <v>942</v>
      </c>
      <c r="C297" s="211" t="s">
        <v>482</v>
      </c>
      <c r="D297" s="211">
        <v>191821215</v>
      </c>
      <c r="E297" s="218">
        <v>1060</v>
      </c>
      <c r="F297" s="211">
        <v>1274</v>
      </c>
      <c r="G297" s="211">
        <v>1004</v>
      </c>
      <c r="H297" s="218" t="s">
        <v>778</v>
      </c>
      <c r="I297" s="211" t="s">
        <v>2868</v>
      </c>
      <c r="J297" s="212" t="s">
        <v>638</v>
      </c>
      <c r="K297" s="211" t="s">
        <v>527</v>
      </c>
      <c r="L297" s="211" t="s">
        <v>797</v>
      </c>
    </row>
    <row r="298" spans="1:12" s="211" customFormat="1" x14ac:dyDescent="0.25">
      <c r="A298" s="211" t="s">
        <v>117</v>
      </c>
      <c r="B298" s="211">
        <v>942</v>
      </c>
      <c r="C298" s="211" t="s">
        <v>482</v>
      </c>
      <c r="D298" s="211">
        <v>191844356</v>
      </c>
      <c r="E298" s="218">
        <v>1080</v>
      </c>
      <c r="F298" s="211">
        <v>1242</v>
      </c>
      <c r="G298" s="211">
        <v>1004</v>
      </c>
      <c r="H298" s="218" t="s">
        <v>525</v>
      </c>
      <c r="I298" s="211" t="s">
        <v>3316</v>
      </c>
      <c r="J298" s="212" t="s">
        <v>638</v>
      </c>
      <c r="K298" s="211" t="s">
        <v>527</v>
      </c>
      <c r="L298" s="211" t="s">
        <v>798</v>
      </c>
    </row>
    <row r="299" spans="1:12" s="211" customFormat="1" x14ac:dyDescent="0.25">
      <c r="A299" s="211" t="s">
        <v>117</v>
      </c>
      <c r="B299" s="211">
        <v>942</v>
      </c>
      <c r="C299" s="211" t="s">
        <v>482</v>
      </c>
      <c r="D299" s="211">
        <v>502103552</v>
      </c>
      <c r="E299" s="218">
        <v>1060</v>
      </c>
      <c r="F299" s="211">
        <v>1242</v>
      </c>
      <c r="G299" s="211">
        <v>1004</v>
      </c>
      <c r="H299" s="218" t="s">
        <v>778</v>
      </c>
      <c r="I299" s="211" t="s">
        <v>3244</v>
      </c>
      <c r="J299" s="212" t="s">
        <v>638</v>
      </c>
      <c r="K299" s="211" t="s">
        <v>527</v>
      </c>
      <c r="L299" s="211" t="s">
        <v>797</v>
      </c>
    </row>
    <row r="300" spans="1:12" s="211" customFormat="1" x14ac:dyDescent="0.25">
      <c r="A300" s="211" t="s">
        <v>117</v>
      </c>
      <c r="B300" s="211">
        <v>942</v>
      </c>
      <c r="C300" s="211" t="s">
        <v>482</v>
      </c>
      <c r="D300" s="211">
        <v>502105115</v>
      </c>
      <c r="E300" s="218">
        <v>1060</v>
      </c>
      <c r="F300" s="211">
        <v>1242</v>
      </c>
      <c r="G300" s="211">
        <v>1004</v>
      </c>
      <c r="H300" s="218" t="s">
        <v>778</v>
      </c>
      <c r="I300" s="211" t="s">
        <v>3683</v>
      </c>
      <c r="J300" s="212" t="s">
        <v>638</v>
      </c>
      <c r="K300" s="211" t="s">
        <v>527</v>
      </c>
      <c r="L300" s="211" t="s">
        <v>797</v>
      </c>
    </row>
    <row r="301" spans="1:12" s="211" customFormat="1" x14ac:dyDescent="0.25">
      <c r="A301" s="211" t="s">
        <v>117</v>
      </c>
      <c r="B301" s="211">
        <v>942</v>
      </c>
      <c r="C301" s="211" t="s">
        <v>482</v>
      </c>
      <c r="D301" s="211">
        <v>502105116</v>
      </c>
      <c r="E301" s="218">
        <v>1060</v>
      </c>
      <c r="F301" s="211">
        <v>1242</v>
      </c>
      <c r="G301" s="211">
        <v>1004</v>
      </c>
      <c r="H301" s="218" t="s">
        <v>778</v>
      </c>
      <c r="I301" s="211" t="s">
        <v>3684</v>
      </c>
      <c r="J301" s="212" t="s">
        <v>638</v>
      </c>
      <c r="K301" s="211" t="s">
        <v>527</v>
      </c>
      <c r="L301" s="211" t="s">
        <v>797</v>
      </c>
    </row>
    <row r="302" spans="1:12" s="211" customFormat="1" x14ac:dyDescent="0.25">
      <c r="A302" s="211" t="s">
        <v>117</v>
      </c>
      <c r="B302" s="211">
        <v>943</v>
      </c>
      <c r="C302" s="211" t="s">
        <v>483</v>
      </c>
      <c r="D302" s="211">
        <v>192042935</v>
      </c>
      <c r="E302" s="218">
        <v>1080</v>
      </c>
      <c r="F302" s="211">
        <v>1242</v>
      </c>
      <c r="G302" s="211">
        <v>1004</v>
      </c>
      <c r="H302" s="218" t="s">
        <v>525</v>
      </c>
      <c r="I302" s="211" t="s">
        <v>3092</v>
      </c>
      <c r="J302" s="212" t="s">
        <v>638</v>
      </c>
      <c r="K302" s="211" t="s">
        <v>527</v>
      </c>
      <c r="L302" s="211" t="s">
        <v>798</v>
      </c>
    </row>
    <row r="303" spans="1:12" s="211" customFormat="1" x14ac:dyDescent="0.25">
      <c r="A303" s="211" t="s">
        <v>117</v>
      </c>
      <c r="B303" s="211">
        <v>943</v>
      </c>
      <c r="C303" s="211" t="s">
        <v>483</v>
      </c>
      <c r="D303" s="211">
        <v>192046476</v>
      </c>
      <c r="E303" s="218">
        <v>1080</v>
      </c>
      <c r="F303" s="211">
        <v>1274</v>
      </c>
      <c r="G303" s="211">
        <v>1004</v>
      </c>
      <c r="H303" s="218" t="s">
        <v>525</v>
      </c>
      <c r="I303" s="211" t="s">
        <v>3685</v>
      </c>
      <c r="J303" s="212" t="s">
        <v>638</v>
      </c>
      <c r="K303" s="211" t="s">
        <v>527</v>
      </c>
      <c r="L303" s="211" t="s">
        <v>798</v>
      </c>
    </row>
    <row r="304" spans="1:12" s="211" customFormat="1" x14ac:dyDescent="0.25">
      <c r="A304" s="211" t="s">
        <v>117</v>
      </c>
      <c r="B304" s="211">
        <v>951</v>
      </c>
      <c r="C304" s="211" t="s">
        <v>488</v>
      </c>
      <c r="D304" s="211">
        <v>192000501</v>
      </c>
      <c r="E304" s="218">
        <v>1060</v>
      </c>
      <c r="F304" s="211">
        <v>1271</v>
      </c>
      <c r="G304" s="211">
        <v>1004</v>
      </c>
      <c r="H304" s="218" t="s">
        <v>778</v>
      </c>
      <c r="I304" s="211" t="s">
        <v>3317</v>
      </c>
      <c r="J304" s="212" t="s">
        <v>638</v>
      </c>
      <c r="K304" s="211" t="s">
        <v>527</v>
      </c>
      <c r="L304" s="211" t="s">
        <v>3360</v>
      </c>
    </row>
    <row r="305" spans="1:12" s="211" customFormat="1" x14ac:dyDescent="0.25">
      <c r="A305" s="211" t="s">
        <v>117</v>
      </c>
      <c r="B305" s="211">
        <v>953</v>
      </c>
      <c r="C305" s="211" t="s">
        <v>490</v>
      </c>
      <c r="D305" s="211">
        <v>191950787</v>
      </c>
      <c r="E305" s="218">
        <v>1060</v>
      </c>
      <c r="F305" s="211">
        <v>1242</v>
      </c>
      <c r="G305" s="211">
        <v>1004</v>
      </c>
      <c r="H305" s="218" t="s">
        <v>778</v>
      </c>
      <c r="I305" s="211" t="s">
        <v>3318</v>
      </c>
      <c r="J305" s="212" t="s">
        <v>638</v>
      </c>
      <c r="K305" s="211" t="s">
        <v>527</v>
      </c>
      <c r="L305" s="211" t="s">
        <v>797</v>
      </c>
    </row>
    <row r="306" spans="1:12" s="211" customFormat="1" x14ac:dyDescent="0.25">
      <c r="A306" s="211" t="s">
        <v>117</v>
      </c>
      <c r="B306" s="211">
        <v>953</v>
      </c>
      <c r="C306" s="211" t="s">
        <v>490</v>
      </c>
      <c r="D306" s="211">
        <v>191979869</v>
      </c>
      <c r="E306" s="218">
        <v>1060</v>
      </c>
      <c r="F306" s="211">
        <v>1271</v>
      </c>
      <c r="G306" s="211">
        <v>1004</v>
      </c>
      <c r="H306" s="218" t="s">
        <v>778</v>
      </c>
      <c r="I306" s="211" t="s">
        <v>3319</v>
      </c>
      <c r="J306" s="212" t="s">
        <v>638</v>
      </c>
      <c r="K306" s="211" t="s">
        <v>527</v>
      </c>
      <c r="L306" s="211" t="s">
        <v>797</v>
      </c>
    </row>
    <row r="307" spans="1:12" s="211" customFormat="1" x14ac:dyDescent="0.25">
      <c r="A307" s="211" t="s">
        <v>117</v>
      </c>
      <c r="B307" s="211">
        <v>953</v>
      </c>
      <c r="C307" s="211" t="s">
        <v>490</v>
      </c>
      <c r="D307" s="211">
        <v>502035295</v>
      </c>
      <c r="E307" s="218">
        <v>1060</v>
      </c>
      <c r="G307" s="211">
        <v>1004</v>
      </c>
      <c r="H307" s="218" t="s">
        <v>778</v>
      </c>
      <c r="I307" s="211" t="s">
        <v>3320</v>
      </c>
      <c r="J307" s="212" t="s">
        <v>638</v>
      </c>
      <c r="K307" s="211" t="s">
        <v>527</v>
      </c>
      <c r="L307" s="211" t="s">
        <v>797</v>
      </c>
    </row>
    <row r="308" spans="1:12" s="211" customFormat="1" x14ac:dyDescent="0.25">
      <c r="A308" s="211" t="s">
        <v>117</v>
      </c>
      <c r="B308" s="211">
        <v>954</v>
      </c>
      <c r="C308" s="211" t="s">
        <v>491</v>
      </c>
      <c r="D308" s="211">
        <v>191208990</v>
      </c>
      <c r="E308" s="218">
        <v>1060</v>
      </c>
      <c r="F308" s="211">
        <v>1274</v>
      </c>
      <c r="G308" s="211">
        <v>1003</v>
      </c>
      <c r="H308" s="218" t="s">
        <v>778</v>
      </c>
      <c r="I308" s="211" t="s">
        <v>3321</v>
      </c>
      <c r="J308" s="212" t="s">
        <v>638</v>
      </c>
      <c r="K308" s="211" t="s">
        <v>527</v>
      </c>
      <c r="L308" s="211" t="s">
        <v>2706</v>
      </c>
    </row>
    <row r="309" spans="1:12" s="211" customFormat="1" x14ac:dyDescent="0.25">
      <c r="A309" s="211" t="s">
        <v>117</v>
      </c>
      <c r="B309" s="211">
        <v>954</v>
      </c>
      <c r="C309" s="211" t="s">
        <v>491</v>
      </c>
      <c r="D309" s="211">
        <v>192002585</v>
      </c>
      <c r="E309" s="218">
        <v>1060</v>
      </c>
      <c r="F309" s="211">
        <v>1251</v>
      </c>
      <c r="G309" s="211">
        <v>1004</v>
      </c>
      <c r="H309" s="218" t="s">
        <v>778</v>
      </c>
      <c r="I309" s="211" t="s">
        <v>3322</v>
      </c>
      <c r="J309" s="212" t="s">
        <v>638</v>
      </c>
      <c r="K309" s="211" t="s">
        <v>527</v>
      </c>
      <c r="L309" s="211" t="s">
        <v>797</v>
      </c>
    </row>
    <row r="310" spans="1:12" s="211" customFormat="1" x14ac:dyDescent="0.25">
      <c r="A310" s="211" t="s">
        <v>117</v>
      </c>
      <c r="B310" s="211">
        <v>954</v>
      </c>
      <c r="C310" s="211" t="s">
        <v>491</v>
      </c>
      <c r="D310" s="211">
        <v>502117185</v>
      </c>
      <c r="E310" s="218">
        <v>1060</v>
      </c>
      <c r="F310" s="211">
        <v>1251</v>
      </c>
      <c r="G310" s="211">
        <v>1004</v>
      </c>
      <c r="H310" s="218" t="s">
        <v>778</v>
      </c>
      <c r="I310" s="211" t="s">
        <v>3321</v>
      </c>
      <c r="J310" s="212" t="s">
        <v>638</v>
      </c>
      <c r="K310" s="211" t="s">
        <v>527</v>
      </c>
      <c r="L310" s="211" t="s">
        <v>802</v>
      </c>
    </row>
    <row r="311" spans="1:12" s="211" customFormat="1" x14ac:dyDescent="0.25">
      <c r="A311" s="211" t="s">
        <v>117</v>
      </c>
      <c r="B311" s="211">
        <v>955</v>
      </c>
      <c r="C311" s="211" t="s">
        <v>492</v>
      </c>
      <c r="D311" s="211">
        <v>502140125</v>
      </c>
      <c r="E311" s="218">
        <v>1060</v>
      </c>
      <c r="F311" s="211">
        <v>1274</v>
      </c>
      <c r="G311" s="211">
        <v>1004</v>
      </c>
      <c r="H311" s="218" t="s">
        <v>778</v>
      </c>
      <c r="I311" s="211" t="s">
        <v>2531</v>
      </c>
      <c r="J311" s="212" t="s">
        <v>638</v>
      </c>
      <c r="K311" s="211" t="s">
        <v>527</v>
      </c>
      <c r="L311" s="211" t="s">
        <v>797</v>
      </c>
    </row>
    <row r="312" spans="1:12" s="211" customFormat="1" x14ac:dyDescent="0.25">
      <c r="A312" s="211" t="s">
        <v>117</v>
      </c>
      <c r="B312" s="211">
        <v>956</v>
      </c>
      <c r="C312" s="211" t="s">
        <v>493</v>
      </c>
      <c r="D312" s="211">
        <v>191976535</v>
      </c>
      <c r="E312" s="218">
        <v>1060</v>
      </c>
      <c r="F312" s="211">
        <v>1242</v>
      </c>
      <c r="G312" s="211">
        <v>1004</v>
      </c>
      <c r="H312" s="218" t="s">
        <v>778</v>
      </c>
      <c r="I312" s="211" t="s">
        <v>2818</v>
      </c>
      <c r="J312" s="212" t="s">
        <v>638</v>
      </c>
      <c r="K312" s="211" t="s">
        <v>527</v>
      </c>
      <c r="L312" s="211" t="s">
        <v>797</v>
      </c>
    </row>
    <row r="313" spans="1:12" s="211" customFormat="1" x14ac:dyDescent="0.25">
      <c r="A313" s="211" t="s">
        <v>117</v>
      </c>
      <c r="B313" s="211">
        <v>957</v>
      </c>
      <c r="C313" s="211" t="s">
        <v>494</v>
      </c>
      <c r="D313" s="211">
        <v>191665518</v>
      </c>
      <c r="E313" s="218">
        <v>1010</v>
      </c>
      <c r="G313" s="211">
        <v>1004</v>
      </c>
      <c r="H313" s="218" t="s">
        <v>525</v>
      </c>
      <c r="I313" s="211" t="s">
        <v>773</v>
      </c>
      <c r="J313" s="212" t="s">
        <v>638</v>
      </c>
      <c r="K313" s="211" t="s">
        <v>748</v>
      </c>
      <c r="L313" s="211" t="s">
        <v>785</v>
      </c>
    </row>
    <row r="314" spans="1:12" s="211" customFormat="1" x14ac:dyDescent="0.25">
      <c r="A314" s="211" t="s">
        <v>117</v>
      </c>
      <c r="B314" s="211">
        <v>957</v>
      </c>
      <c r="C314" s="211" t="s">
        <v>494</v>
      </c>
      <c r="D314" s="211">
        <v>191762398</v>
      </c>
      <c r="E314" s="218">
        <v>1010</v>
      </c>
      <c r="G314" s="211">
        <v>1004</v>
      </c>
      <c r="H314" s="218" t="s">
        <v>525</v>
      </c>
      <c r="I314" s="211" t="s">
        <v>774</v>
      </c>
      <c r="J314" s="212" t="s">
        <v>638</v>
      </c>
      <c r="K314" s="211" t="s">
        <v>748</v>
      </c>
      <c r="L314" s="211" t="s">
        <v>786</v>
      </c>
    </row>
    <row r="315" spans="1:12" s="211" customFormat="1" x14ac:dyDescent="0.25">
      <c r="A315" s="211" t="s">
        <v>117</v>
      </c>
      <c r="B315" s="211">
        <v>957</v>
      </c>
      <c r="C315" s="211" t="s">
        <v>494</v>
      </c>
      <c r="D315" s="211">
        <v>191874545</v>
      </c>
      <c r="E315" s="218">
        <v>1060</v>
      </c>
      <c r="F315" s="211">
        <v>1271</v>
      </c>
      <c r="G315" s="211">
        <v>1004</v>
      </c>
      <c r="H315" s="218" t="s">
        <v>778</v>
      </c>
      <c r="I315" s="211" t="s">
        <v>3093</v>
      </c>
      <c r="J315" s="212" t="s">
        <v>638</v>
      </c>
      <c r="K315" s="211" t="s">
        <v>527</v>
      </c>
      <c r="L315" s="211" t="s">
        <v>797</v>
      </c>
    </row>
    <row r="316" spans="1:12" s="211" customFormat="1" x14ac:dyDescent="0.25">
      <c r="A316" s="211" t="s">
        <v>117</v>
      </c>
      <c r="B316" s="211">
        <v>957</v>
      </c>
      <c r="C316" s="211" t="s">
        <v>494</v>
      </c>
      <c r="D316" s="211">
        <v>191888201</v>
      </c>
      <c r="E316" s="218">
        <v>1060</v>
      </c>
      <c r="F316" s="211">
        <v>1130</v>
      </c>
      <c r="G316" s="211">
        <v>1004</v>
      </c>
      <c r="H316" s="218" t="s">
        <v>778</v>
      </c>
      <c r="I316" s="211" t="s">
        <v>3094</v>
      </c>
      <c r="J316" s="212" t="s">
        <v>638</v>
      </c>
      <c r="K316" s="211" t="s">
        <v>527</v>
      </c>
      <c r="L316" s="211" t="s">
        <v>797</v>
      </c>
    </row>
    <row r="317" spans="1:12" s="211" customFormat="1" x14ac:dyDescent="0.25">
      <c r="A317" s="211" t="s">
        <v>117</v>
      </c>
      <c r="B317" s="211">
        <v>957</v>
      </c>
      <c r="C317" s="211" t="s">
        <v>494</v>
      </c>
      <c r="D317" s="211">
        <v>191893682</v>
      </c>
      <c r="E317" s="218">
        <v>1060</v>
      </c>
      <c r="F317" s="211">
        <v>1274</v>
      </c>
      <c r="G317" s="211">
        <v>1004</v>
      </c>
      <c r="H317" s="218" t="s">
        <v>778</v>
      </c>
      <c r="I317" s="211" t="s">
        <v>3095</v>
      </c>
      <c r="J317" s="212" t="s">
        <v>638</v>
      </c>
      <c r="K317" s="211" t="s">
        <v>527</v>
      </c>
      <c r="L317" s="211" t="s">
        <v>797</v>
      </c>
    </row>
    <row r="318" spans="1:12" s="211" customFormat="1" x14ac:dyDescent="0.25">
      <c r="A318" s="211" t="s">
        <v>117</v>
      </c>
      <c r="B318" s="211">
        <v>957</v>
      </c>
      <c r="C318" s="211" t="s">
        <v>494</v>
      </c>
      <c r="D318" s="211">
        <v>191906796</v>
      </c>
      <c r="E318" s="218">
        <v>1060</v>
      </c>
      <c r="F318" s="211">
        <v>1242</v>
      </c>
      <c r="G318" s="211">
        <v>1004</v>
      </c>
      <c r="H318" s="218" t="s">
        <v>778</v>
      </c>
      <c r="I318" s="211" t="s">
        <v>2965</v>
      </c>
      <c r="J318" s="212" t="s">
        <v>638</v>
      </c>
      <c r="K318" s="211" t="s">
        <v>527</v>
      </c>
      <c r="L318" s="211" t="s">
        <v>797</v>
      </c>
    </row>
    <row r="319" spans="1:12" s="211" customFormat="1" x14ac:dyDescent="0.25">
      <c r="A319" s="211" t="s">
        <v>117</v>
      </c>
      <c r="B319" s="211">
        <v>957</v>
      </c>
      <c r="C319" s="211" t="s">
        <v>494</v>
      </c>
      <c r="D319" s="211">
        <v>191917988</v>
      </c>
      <c r="E319" s="218">
        <v>1080</v>
      </c>
      <c r="F319" s="211">
        <v>1271</v>
      </c>
      <c r="G319" s="211">
        <v>1004</v>
      </c>
      <c r="H319" s="218" t="s">
        <v>525</v>
      </c>
      <c r="I319" s="211" t="s">
        <v>3176</v>
      </c>
      <c r="J319" s="212" t="s">
        <v>638</v>
      </c>
      <c r="K319" s="211" t="s">
        <v>527</v>
      </c>
      <c r="L319" s="211" t="s">
        <v>798</v>
      </c>
    </row>
    <row r="320" spans="1:12" s="211" customFormat="1" x14ac:dyDescent="0.25">
      <c r="A320" s="211" t="s">
        <v>117</v>
      </c>
      <c r="B320" s="211">
        <v>957</v>
      </c>
      <c r="C320" s="211" t="s">
        <v>494</v>
      </c>
      <c r="D320" s="211">
        <v>191917992</v>
      </c>
      <c r="E320" s="218">
        <v>1080</v>
      </c>
      <c r="F320" s="211">
        <v>1271</v>
      </c>
      <c r="G320" s="211">
        <v>1004</v>
      </c>
      <c r="H320" s="218" t="s">
        <v>525</v>
      </c>
      <c r="I320" s="211" t="s">
        <v>3177</v>
      </c>
      <c r="J320" s="212" t="s">
        <v>638</v>
      </c>
      <c r="K320" s="211" t="s">
        <v>527</v>
      </c>
      <c r="L320" s="211" t="s">
        <v>798</v>
      </c>
    </row>
    <row r="321" spans="1:12" s="211" customFormat="1" x14ac:dyDescent="0.25">
      <c r="A321" s="211" t="s">
        <v>117</v>
      </c>
      <c r="B321" s="211">
        <v>957</v>
      </c>
      <c r="C321" s="211" t="s">
        <v>494</v>
      </c>
      <c r="D321" s="211">
        <v>191922051</v>
      </c>
      <c r="E321" s="218">
        <v>1060</v>
      </c>
      <c r="F321" s="211">
        <v>1271</v>
      </c>
      <c r="G321" s="211">
        <v>1004</v>
      </c>
      <c r="H321" s="218" t="s">
        <v>778</v>
      </c>
      <c r="I321" s="211" t="s">
        <v>3096</v>
      </c>
      <c r="J321" s="212" t="s">
        <v>638</v>
      </c>
      <c r="K321" s="211" t="s">
        <v>527</v>
      </c>
      <c r="L321" s="211" t="s">
        <v>797</v>
      </c>
    </row>
    <row r="322" spans="1:12" s="211" customFormat="1" x14ac:dyDescent="0.25">
      <c r="A322" s="211" t="s">
        <v>117</v>
      </c>
      <c r="B322" s="211">
        <v>957</v>
      </c>
      <c r="C322" s="211" t="s">
        <v>494</v>
      </c>
      <c r="D322" s="211">
        <v>191951628</v>
      </c>
      <c r="E322" s="218">
        <v>1060</v>
      </c>
      <c r="F322" s="211">
        <v>1271</v>
      </c>
      <c r="G322" s="211">
        <v>1004</v>
      </c>
      <c r="H322" s="218" t="s">
        <v>778</v>
      </c>
      <c r="I322" s="211" t="s">
        <v>3401</v>
      </c>
      <c r="J322" s="212" t="s">
        <v>638</v>
      </c>
      <c r="K322" s="211" t="s">
        <v>527</v>
      </c>
      <c r="L322" s="211" t="s">
        <v>797</v>
      </c>
    </row>
    <row r="323" spans="1:12" s="211" customFormat="1" x14ac:dyDescent="0.25">
      <c r="A323" s="211" t="s">
        <v>117</v>
      </c>
      <c r="B323" s="211">
        <v>957</v>
      </c>
      <c r="C323" s="211" t="s">
        <v>494</v>
      </c>
      <c r="D323" s="211">
        <v>191952619</v>
      </c>
      <c r="E323" s="218">
        <v>1060</v>
      </c>
      <c r="F323" s="211">
        <v>1242</v>
      </c>
      <c r="G323" s="211">
        <v>1004</v>
      </c>
      <c r="H323" s="218" t="s">
        <v>778</v>
      </c>
      <c r="I323" s="211" t="s">
        <v>3097</v>
      </c>
      <c r="J323" s="212" t="s">
        <v>638</v>
      </c>
      <c r="K323" s="211" t="s">
        <v>527</v>
      </c>
      <c r="L323" s="211" t="s">
        <v>797</v>
      </c>
    </row>
    <row r="324" spans="1:12" s="211" customFormat="1" x14ac:dyDescent="0.25">
      <c r="A324" s="211" t="s">
        <v>117</v>
      </c>
      <c r="B324" s="211">
        <v>957</v>
      </c>
      <c r="C324" s="211" t="s">
        <v>494</v>
      </c>
      <c r="D324" s="211">
        <v>191968799</v>
      </c>
      <c r="E324" s="218">
        <v>1060</v>
      </c>
      <c r="F324" s="211">
        <v>1242</v>
      </c>
      <c r="G324" s="211">
        <v>1004</v>
      </c>
      <c r="H324" s="218" t="s">
        <v>778</v>
      </c>
      <c r="I324" s="211" t="s">
        <v>3323</v>
      </c>
      <c r="J324" s="212" t="s">
        <v>638</v>
      </c>
      <c r="K324" s="211" t="s">
        <v>527</v>
      </c>
      <c r="L324" s="211" t="s">
        <v>797</v>
      </c>
    </row>
    <row r="325" spans="1:12" s="211" customFormat="1" x14ac:dyDescent="0.25">
      <c r="A325" s="211" t="s">
        <v>117</v>
      </c>
      <c r="B325" s="211">
        <v>957</v>
      </c>
      <c r="C325" s="211" t="s">
        <v>494</v>
      </c>
      <c r="D325" s="211">
        <v>191978614</v>
      </c>
      <c r="E325" s="218">
        <v>1060</v>
      </c>
      <c r="F325" s="211">
        <v>1261</v>
      </c>
      <c r="G325" s="211">
        <v>1004</v>
      </c>
      <c r="H325" s="218" t="s">
        <v>778</v>
      </c>
      <c r="I325" s="211" t="s">
        <v>3178</v>
      </c>
      <c r="J325" s="212" t="s">
        <v>638</v>
      </c>
      <c r="K325" s="211" t="s">
        <v>527</v>
      </c>
      <c r="L325" s="211" t="s">
        <v>797</v>
      </c>
    </row>
    <row r="326" spans="1:12" s="211" customFormat="1" x14ac:dyDescent="0.25">
      <c r="A326" s="211" t="s">
        <v>117</v>
      </c>
      <c r="B326" s="211">
        <v>957</v>
      </c>
      <c r="C326" s="211" t="s">
        <v>494</v>
      </c>
      <c r="D326" s="211">
        <v>191989913</v>
      </c>
      <c r="E326" s="218">
        <v>1060</v>
      </c>
      <c r="F326" s="211">
        <v>1274</v>
      </c>
      <c r="G326" s="211">
        <v>1004</v>
      </c>
      <c r="H326" s="218" t="s">
        <v>778</v>
      </c>
      <c r="I326" s="211" t="s">
        <v>3686</v>
      </c>
      <c r="J326" s="212" t="s">
        <v>638</v>
      </c>
      <c r="K326" s="211" t="s">
        <v>527</v>
      </c>
      <c r="L326" s="211" t="s">
        <v>797</v>
      </c>
    </row>
    <row r="327" spans="1:12" s="211" customFormat="1" x14ac:dyDescent="0.25">
      <c r="A327" s="211" t="s">
        <v>117</v>
      </c>
      <c r="B327" s="211">
        <v>957</v>
      </c>
      <c r="C327" s="211" t="s">
        <v>494</v>
      </c>
      <c r="D327" s="211">
        <v>192000005</v>
      </c>
      <c r="E327" s="218">
        <v>1060</v>
      </c>
      <c r="F327" s="211">
        <v>1274</v>
      </c>
      <c r="G327" s="211">
        <v>1003</v>
      </c>
      <c r="H327" s="218" t="s">
        <v>778</v>
      </c>
      <c r="I327" s="211" t="s">
        <v>2966</v>
      </c>
      <c r="J327" s="212" t="s">
        <v>638</v>
      </c>
      <c r="K327" s="211" t="s">
        <v>527</v>
      </c>
      <c r="L327" s="211" t="s">
        <v>797</v>
      </c>
    </row>
    <row r="328" spans="1:12" s="211" customFormat="1" x14ac:dyDescent="0.25">
      <c r="A328" s="211" t="s">
        <v>117</v>
      </c>
      <c r="B328" s="211">
        <v>957</v>
      </c>
      <c r="C328" s="211" t="s">
        <v>494</v>
      </c>
      <c r="D328" s="211">
        <v>192005109</v>
      </c>
      <c r="E328" s="218">
        <v>1060</v>
      </c>
      <c r="F328" s="211">
        <v>1242</v>
      </c>
      <c r="G328" s="211">
        <v>1003</v>
      </c>
      <c r="H328" s="218" t="s">
        <v>778</v>
      </c>
      <c r="I328" s="211" t="s">
        <v>3324</v>
      </c>
      <c r="J328" s="212" t="s">
        <v>638</v>
      </c>
      <c r="K328" s="211" t="s">
        <v>527</v>
      </c>
      <c r="L328" s="211" t="s">
        <v>797</v>
      </c>
    </row>
    <row r="329" spans="1:12" s="211" customFormat="1" x14ac:dyDescent="0.25">
      <c r="A329" s="211" t="s">
        <v>117</v>
      </c>
      <c r="B329" s="211">
        <v>957</v>
      </c>
      <c r="C329" s="211" t="s">
        <v>494</v>
      </c>
      <c r="D329" s="211">
        <v>502255743</v>
      </c>
      <c r="E329" s="218">
        <v>1060</v>
      </c>
      <c r="G329" s="211">
        <v>1004</v>
      </c>
      <c r="H329" s="218" t="s">
        <v>778</v>
      </c>
      <c r="I329" s="211" t="s">
        <v>2967</v>
      </c>
      <c r="J329" s="212" t="s">
        <v>638</v>
      </c>
      <c r="K329" s="211" t="s">
        <v>527</v>
      </c>
      <c r="L329" s="211" t="s">
        <v>797</v>
      </c>
    </row>
    <row r="330" spans="1:12" s="211" customFormat="1" x14ac:dyDescent="0.25">
      <c r="A330" s="211" t="s">
        <v>117</v>
      </c>
      <c r="B330" s="211">
        <v>957</v>
      </c>
      <c r="C330" s="211" t="s">
        <v>494</v>
      </c>
      <c r="D330" s="211">
        <v>502255744</v>
      </c>
      <c r="E330" s="218">
        <v>1060</v>
      </c>
      <c r="G330" s="211">
        <v>1004</v>
      </c>
      <c r="H330" s="218" t="s">
        <v>778</v>
      </c>
      <c r="I330" s="211" t="s">
        <v>2968</v>
      </c>
      <c r="J330" s="212" t="s">
        <v>638</v>
      </c>
      <c r="K330" s="211" t="s">
        <v>527</v>
      </c>
      <c r="L330" s="211" t="s">
        <v>797</v>
      </c>
    </row>
    <row r="331" spans="1:12" s="211" customFormat="1" x14ac:dyDescent="0.25">
      <c r="A331" s="211" t="s">
        <v>117</v>
      </c>
      <c r="B331" s="211">
        <v>957</v>
      </c>
      <c r="C331" s="211" t="s">
        <v>494</v>
      </c>
      <c r="D331" s="211">
        <v>502256952</v>
      </c>
      <c r="E331" s="218">
        <v>1060</v>
      </c>
      <c r="G331" s="211">
        <v>1004</v>
      </c>
      <c r="H331" s="218" t="s">
        <v>778</v>
      </c>
      <c r="I331" s="211" t="s">
        <v>3098</v>
      </c>
      <c r="J331" s="212" t="s">
        <v>638</v>
      </c>
      <c r="K331" s="211" t="s">
        <v>527</v>
      </c>
      <c r="L331" s="211" t="s">
        <v>3140</v>
      </c>
    </row>
    <row r="332" spans="1:12" s="211" customFormat="1" x14ac:dyDescent="0.25">
      <c r="A332" s="211" t="s">
        <v>117</v>
      </c>
      <c r="B332" s="211">
        <v>957</v>
      </c>
      <c r="C332" s="211" t="s">
        <v>494</v>
      </c>
      <c r="D332" s="211">
        <v>502256953</v>
      </c>
      <c r="E332" s="218">
        <v>1060</v>
      </c>
      <c r="G332" s="211">
        <v>1004</v>
      </c>
      <c r="H332" s="218" t="s">
        <v>778</v>
      </c>
      <c r="I332" s="211" t="s">
        <v>3098</v>
      </c>
      <c r="J332" s="212" t="s">
        <v>638</v>
      </c>
      <c r="K332" s="211" t="s">
        <v>527</v>
      </c>
      <c r="L332" s="211" t="s">
        <v>3140</v>
      </c>
    </row>
    <row r="333" spans="1:12" s="211" customFormat="1" x14ac:dyDescent="0.25">
      <c r="A333" s="211" t="s">
        <v>117</v>
      </c>
      <c r="B333" s="211">
        <v>957</v>
      </c>
      <c r="C333" s="211" t="s">
        <v>494</v>
      </c>
      <c r="D333" s="211">
        <v>502256954</v>
      </c>
      <c r="E333" s="218">
        <v>1060</v>
      </c>
      <c r="G333" s="211">
        <v>1004</v>
      </c>
      <c r="H333" s="218" t="s">
        <v>778</v>
      </c>
      <c r="I333" s="211" t="s">
        <v>3098</v>
      </c>
      <c r="J333" s="212" t="s">
        <v>638</v>
      </c>
      <c r="K333" s="211" t="s">
        <v>527</v>
      </c>
      <c r="L333" s="211" t="s">
        <v>3140</v>
      </c>
    </row>
    <row r="334" spans="1:12" s="211" customFormat="1" x14ac:dyDescent="0.25">
      <c r="A334" s="211" t="s">
        <v>117</v>
      </c>
      <c r="B334" s="211">
        <v>960</v>
      </c>
      <c r="C334" s="211" t="s">
        <v>497</v>
      </c>
      <c r="D334" s="211">
        <v>504113125</v>
      </c>
      <c r="E334" s="218">
        <v>1060</v>
      </c>
      <c r="F334" s="211">
        <v>1242</v>
      </c>
      <c r="G334" s="211">
        <v>1004</v>
      </c>
      <c r="H334" s="218" t="s">
        <v>778</v>
      </c>
      <c r="I334" s="211" t="s">
        <v>3325</v>
      </c>
      <c r="J334" s="212" t="s">
        <v>638</v>
      </c>
      <c r="K334" s="211" t="s">
        <v>527</v>
      </c>
      <c r="L334" s="211" t="s">
        <v>797</v>
      </c>
    </row>
    <row r="335" spans="1:12" s="211" customFormat="1" x14ac:dyDescent="0.25">
      <c r="A335" s="211" t="s">
        <v>117</v>
      </c>
      <c r="B335" s="211">
        <v>971</v>
      </c>
      <c r="C335" s="211" t="s">
        <v>498</v>
      </c>
      <c r="D335" s="211">
        <v>192038758</v>
      </c>
      <c r="E335" s="218">
        <v>1060</v>
      </c>
      <c r="F335" s="211">
        <v>1242</v>
      </c>
      <c r="G335" s="211">
        <v>1004</v>
      </c>
      <c r="H335" s="218" t="s">
        <v>778</v>
      </c>
      <c r="I335" s="211" t="s">
        <v>3687</v>
      </c>
      <c r="J335" s="212" t="s">
        <v>638</v>
      </c>
      <c r="K335" s="211" t="s">
        <v>527</v>
      </c>
      <c r="L335" s="211" t="s">
        <v>797</v>
      </c>
    </row>
    <row r="336" spans="1:12" s="211" customFormat="1" x14ac:dyDescent="0.25">
      <c r="A336" s="211" t="s">
        <v>117</v>
      </c>
      <c r="B336" s="211">
        <v>979</v>
      </c>
      <c r="C336" s="211" t="s">
        <v>504</v>
      </c>
      <c r="D336" s="211">
        <v>191963949</v>
      </c>
      <c r="E336" s="218">
        <v>1080</v>
      </c>
      <c r="F336" s="211">
        <v>1274</v>
      </c>
      <c r="G336" s="211">
        <v>1004</v>
      </c>
      <c r="H336" s="218" t="s">
        <v>525</v>
      </c>
      <c r="I336" s="211" t="s">
        <v>3099</v>
      </c>
      <c r="J336" s="212" t="s">
        <v>638</v>
      </c>
      <c r="K336" s="211" t="s">
        <v>527</v>
      </c>
      <c r="L336" s="211" t="s">
        <v>798</v>
      </c>
    </row>
    <row r="337" spans="1:12" s="211" customFormat="1" x14ac:dyDescent="0.25">
      <c r="A337" s="211" t="s">
        <v>117</v>
      </c>
      <c r="B337" s="211">
        <v>979</v>
      </c>
      <c r="C337" s="211" t="s">
        <v>504</v>
      </c>
      <c r="D337" s="211">
        <v>191965351</v>
      </c>
      <c r="E337" s="218">
        <v>1060</v>
      </c>
      <c r="F337" s="211">
        <v>1242</v>
      </c>
      <c r="G337" s="211">
        <v>1004</v>
      </c>
      <c r="H337" s="218" t="s">
        <v>778</v>
      </c>
      <c r="I337" s="211" t="s">
        <v>2869</v>
      </c>
      <c r="J337" s="212" t="s">
        <v>638</v>
      </c>
      <c r="K337" s="211" t="s">
        <v>527</v>
      </c>
      <c r="L337" s="211" t="s">
        <v>797</v>
      </c>
    </row>
    <row r="338" spans="1:12" s="211" customFormat="1" x14ac:dyDescent="0.25">
      <c r="A338" s="211" t="s">
        <v>117</v>
      </c>
      <c r="B338" s="211">
        <v>979</v>
      </c>
      <c r="C338" s="211" t="s">
        <v>504</v>
      </c>
      <c r="D338" s="211">
        <v>502306777</v>
      </c>
      <c r="E338" s="218">
        <v>1060</v>
      </c>
      <c r="F338" s="211">
        <v>1242</v>
      </c>
      <c r="G338" s="211">
        <v>1004</v>
      </c>
      <c r="H338" s="218" t="s">
        <v>778</v>
      </c>
      <c r="I338" s="211" t="s">
        <v>2656</v>
      </c>
      <c r="J338" s="212" t="s">
        <v>638</v>
      </c>
      <c r="K338" s="211" t="s">
        <v>527</v>
      </c>
      <c r="L338" s="211" t="s">
        <v>797</v>
      </c>
    </row>
    <row r="339" spans="1:12" s="211" customFormat="1" x14ac:dyDescent="0.25">
      <c r="A339" s="211" t="s">
        <v>117</v>
      </c>
      <c r="B339" s="211">
        <v>982</v>
      </c>
      <c r="C339" s="211" t="s">
        <v>507</v>
      </c>
      <c r="D339" s="211">
        <v>192042161</v>
      </c>
      <c r="E339" s="218">
        <v>1060</v>
      </c>
      <c r="F339" s="211">
        <v>1242</v>
      </c>
      <c r="G339" s="211">
        <v>1004</v>
      </c>
      <c r="H339" s="218" t="s">
        <v>778</v>
      </c>
      <c r="I339" s="211" t="s">
        <v>3326</v>
      </c>
      <c r="J339" s="212" t="s">
        <v>638</v>
      </c>
      <c r="K339" s="211" t="s">
        <v>527</v>
      </c>
      <c r="L339" s="211" t="s">
        <v>797</v>
      </c>
    </row>
    <row r="340" spans="1:12" s="211" customFormat="1" x14ac:dyDescent="0.25">
      <c r="A340" s="211" t="s">
        <v>117</v>
      </c>
      <c r="B340" s="211">
        <v>991</v>
      </c>
      <c r="C340" s="211" t="s">
        <v>514</v>
      </c>
      <c r="D340" s="211">
        <v>192041026</v>
      </c>
      <c r="E340" s="218">
        <v>1080</v>
      </c>
      <c r="F340" s="211">
        <v>1242</v>
      </c>
      <c r="G340" s="211">
        <v>1004</v>
      </c>
      <c r="H340" s="218" t="s">
        <v>525</v>
      </c>
      <c r="I340" s="211" t="s">
        <v>3100</v>
      </c>
      <c r="J340" s="212" t="s">
        <v>638</v>
      </c>
      <c r="K340" s="211" t="s">
        <v>527</v>
      </c>
      <c r="L340" s="211" t="s">
        <v>798</v>
      </c>
    </row>
    <row r="341" spans="1:12" s="211" customFormat="1" x14ac:dyDescent="0.25">
      <c r="A341" s="211" t="s">
        <v>117</v>
      </c>
      <c r="B341" s="211">
        <v>992</v>
      </c>
      <c r="C341" s="211" t="s">
        <v>515</v>
      </c>
      <c r="D341" s="211">
        <v>191727621</v>
      </c>
      <c r="E341" s="218">
        <v>1060</v>
      </c>
      <c r="F341" s="211">
        <v>1251</v>
      </c>
      <c r="G341" s="211">
        <v>1004</v>
      </c>
      <c r="H341" s="218" t="s">
        <v>778</v>
      </c>
      <c r="I341" s="211" t="s">
        <v>2933</v>
      </c>
      <c r="J341" s="212" t="s">
        <v>638</v>
      </c>
      <c r="K341" s="211" t="s">
        <v>527</v>
      </c>
      <c r="L341" s="211" t="s">
        <v>797</v>
      </c>
    </row>
    <row r="342" spans="1:12" s="211" customFormat="1" x14ac:dyDescent="0.25">
      <c r="A342" s="211" t="s">
        <v>117</v>
      </c>
      <c r="B342" s="211">
        <v>992</v>
      </c>
      <c r="C342" s="211" t="s">
        <v>515</v>
      </c>
      <c r="D342" s="211">
        <v>191989300</v>
      </c>
      <c r="E342" s="218">
        <v>1060</v>
      </c>
      <c r="F342" s="211">
        <v>1242</v>
      </c>
      <c r="G342" s="211">
        <v>1004</v>
      </c>
      <c r="H342" s="218" t="s">
        <v>778</v>
      </c>
      <c r="I342" s="211" t="s">
        <v>3327</v>
      </c>
      <c r="J342" s="212" t="s">
        <v>638</v>
      </c>
      <c r="K342" s="211" t="s">
        <v>527</v>
      </c>
      <c r="L342" s="211" t="s">
        <v>3361</v>
      </c>
    </row>
    <row r="343" spans="1:12" s="211" customFormat="1" x14ac:dyDescent="0.25">
      <c r="A343" s="211" t="s">
        <v>117</v>
      </c>
      <c r="B343" s="211">
        <v>992</v>
      </c>
      <c r="C343" s="211" t="s">
        <v>515</v>
      </c>
      <c r="D343" s="211">
        <v>504115079</v>
      </c>
      <c r="E343" s="218">
        <v>1060</v>
      </c>
      <c r="F343" s="211">
        <v>1261</v>
      </c>
      <c r="G343" s="211">
        <v>1004</v>
      </c>
      <c r="H343" s="218" t="s">
        <v>778</v>
      </c>
      <c r="I343" s="211" t="s">
        <v>2532</v>
      </c>
      <c r="J343" s="212" t="s">
        <v>638</v>
      </c>
      <c r="K343" s="211" t="s">
        <v>527</v>
      </c>
      <c r="L343" s="211" t="s">
        <v>797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B19CABDE-81F1-4841-80E7-6B8DD75AEFC8}"/>
    <hyperlink ref="J7" r:id="rId5" xr:uid="{15C20553-1704-47D4-A1BB-B9789AA18783}"/>
    <hyperlink ref="J8" r:id="rId6" xr:uid="{0C18E257-F2D7-4D3A-8844-F16FA4AEB1A8}"/>
    <hyperlink ref="J9" r:id="rId7" xr:uid="{AD69CDA7-2D40-4E63-A75F-00A3FD53CBC9}"/>
    <hyperlink ref="J10" r:id="rId8" xr:uid="{648A926D-3A8B-468C-A4FB-154CE73F6969}"/>
    <hyperlink ref="J11" r:id="rId9" xr:uid="{08642CF5-1340-49FE-9A6C-744D82C30023}"/>
    <hyperlink ref="J12" r:id="rId10" xr:uid="{36AFA749-A7A9-43C2-9520-DFC157E7E616}"/>
    <hyperlink ref="J13" r:id="rId11" xr:uid="{BD513B54-FBCB-4969-A492-D348F7CF8EA1}"/>
    <hyperlink ref="J14" r:id="rId12" xr:uid="{CC9E2504-1EB9-428F-A05A-923BA8F9B96B}"/>
    <hyperlink ref="J15" r:id="rId13" xr:uid="{01BB8A92-0CFD-4E52-B643-21D68349057B}"/>
    <hyperlink ref="J16" r:id="rId14" xr:uid="{9C86F14F-2868-44B8-A2DD-AFE178F57825}"/>
    <hyperlink ref="J17" r:id="rId15" xr:uid="{BA3C1997-C4D9-48D2-AFDA-25C51E1E053B}"/>
    <hyperlink ref="J18" r:id="rId16" xr:uid="{7416795C-D632-47ED-A6D9-C640907077D7}"/>
    <hyperlink ref="J19" r:id="rId17" xr:uid="{41A76F5F-2A00-4BC6-8726-35C38E2B945D}"/>
    <hyperlink ref="J20" r:id="rId18" xr:uid="{53D9A0C6-7BCD-4A85-9408-4AA34123DF79}"/>
    <hyperlink ref="J21" r:id="rId19" xr:uid="{D0638456-D78C-4835-BCD6-7F066E9C4A8A}"/>
    <hyperlink ref="J22" r:id="rId20" xr:uid="{506CA658-F09D-4BD2-A695-5B4F015D9FFB}"/>
    <hyperlink ref="J23" r:id="rId21" xr:uid="{3FDEB9A6-9E66-47C4-821A-5A02E10C197E}"/>
    <hyperlink ref="J24" r:id="rId22" xr:uid="{FB8A939A-8A2D-4EFF-BAE9-9AB4B2C5C499}"/>
    <hyperlink ref="J25" r:id="rId23" xr:uid="{D439FEA2-75DF-42D6-9EAD-F09B51202337}"/>
    <hyperlink ref="J26" r:id="rId24" xr:uid="{B84077BF-7B6B-432C-B71F-2AE2E0B108EF}"/>
    <hyperlink ref="J27" r:id="rId25" xr:uid="{40C57303-777D-441B-9ACA-56990C89BB25}"/>
    <hyperlink ref="J28" r:id="rId26" xr:uid="{785E042E-9072-48AC-8A5C-A3C4915CD817}"/>
    <hyperlink ref="J29" r:id="rId27" xr:uid="{0692AF50-507F-4D84-AE82-3B7A5E63B5D0}"/>
    <hyperlink ref="J30" r:id="rId28" xr:uid="{9A41CAFA-7854-4675-A6A6-59FD2EB24714}"/>
    <hyperlink ref="J31" r:id="rId29" xr:uid="{1900464F-1B83-4510-AC1C-8B026534FAB4}"/>
    <hyperlink ref="J32" r:id="rId30" xr:uid="{DBD324F3-CCDA-4985-83B1-5FA546AB08F3}"/>
    <hyperlink ref="J33" r:id="rId31" xr:uid="{4FE8F5CD-6B80-43FE-8406-30A0ECC64EB2}"/>
    <hyperlink ref="J34" r:id="rId32" xr:uid="{72C6F789-94D6-4571-B198-3944153D722C}"/>
    <hyperlink ref="J35" r:id="rId33" xr:uid="{8FC3DC33-B862-4A5C-B7AE-CD3C2A0C758F}"/>
    <hyperlink ref="J36" r:id="rId34" xr:uid="{37D6B306-3DD7-4EEA-A188-766ACDE9B743}"/>
    <hyperlink ref="J37" r:id="rId35" xr:uid="{EE4A8AAB-475D-44CC-8C64-1E18709CC6B0}"/>
    <hyperlink ref="J38" r:id="rId36" xr:uid="{E5F18073-EB55-44DE-A274-49C2F53DBE2C}"/>
    <hyperlink ref="J39" r:id="rId37" xr:uid="{D7471CC8-8163-40E0-9AD6-3970819C796D}"/>
    <hyperlink ref="J40" r:id="rId38" xr:uid="{455E9AF1-054B-4D21-BFE5-4F914E9A09A0}"/>
    <hyperlink ref="J41" r:id="rId39" xr:uid="{FC73437F-4D6C-4F82-BAAA-ACA933C4A0B1}"/>
    <hyperlink ref="J42" r:id="rId40" xr:uid="{05CA30E0-B746-4C1A-A810-E89A726A0E26}"/>
    <hyperlink ref="J43" r:id="rId41" xr:uid="{CA2B9671-EE3C-4AF2-B633-99AF99CE998D}"/>
    <hyperlink ref="J44" r:id="rId42" xr:uid="{3E38389E-0970-4E94-B0C0-1CD2BD02C6CF}"/>
    <hyperlink ref="J45" r:id="rId43" xr:uid="{0BB80C2F-5196-4898-9CE1-D6076EA535BB}"/>
    <hyperlink ref="J46" r:id="rId44" xr:uid="{AABB30EC-D2C1-48E6-8EC1-C8E94CF08A06}"/>
    <hyperlink ref="J47" r:id="rId45" xr:uid="{90297313-1108-4F53-A161-390DD8CB727E}"/>
    <hyperlink ref="J48" r:id="rId46" xr:uid="{A4C9500D-3E23-4458-B3E9-2F03315EF2B3}"/>
    <hyperlink ref="J49" r:id="rId47" xr:uid="{083F4F3F-AAE2-4971-8086-F408E1852D77}"/>
    <hyperlink ref="J50" r:id="rId48" xr:uid="{ACFEF2BA-BCA2-4AC4-B259-385BEB47490B}"/>
    <hyperlink ref="J51" r:id="rId49" xr:uid="{1475DA26-C285-4CF2-9EC7-3CC6411CDED4}"/>
    <hyperlink ref="J52" r:id="rId50" xr:uid="{E4E8E331-121B-4F25-9617-32A95B8E7015}"/>
    <hyperlink ref="J53" r:id="rId51" xr:uid="{977D31DA-9AC6-46E6-A5E1-8B5ED96CD6D5}"/>
    <hyperlink ref="J54" r:id="rId52" xr:uid="{03122AA7-CA03-4FF3-9D1C-DFD06DD321DA}"/>
    <hyperlink ref="J55" r:id="rId53" xr:uid="{3219B1A4-E051-4BBE-BF7D-331BA6E5BAF7}"/>
    <hyperlink ref="J56" r:id="rId54" xr:uid="{AB3FA118-F32A-4A5F-8462-E77E36DBA9D6}"/>
    <hyperlink ref="J57" r:id="rId55" xr:uid="{3A678E77-CA96-4A67-B8AE-00798AD4B771}"/>
    <hyperlink ref="J58" r:id="rId56" xr:uid="{1D8E18FC-B13C-48CA-BFBA-9F9FD6834310}"/>
    <hyperlink ref="J59" r:id="rId57" xr:uid="{6D98EB3F-9C6F-4703-B1FA-A137481E71EC}"/>
    <hyperlink ref="J60" r:id="rId58" xr:uid="{9A771BE2-A14A-47A8-8E87-5CCE166579B1}"/>
    <hyperlink ref="J61" r:id="rId59" xr:uid="{CA7F419C-38A6-4581-87E4-36440226CCEC}"/>
    <hyperlink ref="J62" r:id="rId60" xr:uid="{6AD87D02-C3A0-49FC-8190-155844067CDC}"/>
    <hyperlink ref="J63" r:id="rId61" xr:uid="{0F032E12-4411-4A21-9FE8-CE494E887BB0}"/>
    <hyperlink ref="J64" r:id="rId62" xr:uid="{C06809C5-2A72-4CDF-B6CB-4BBA273E5FA4}"/>
    <hyperlink ref="J65" r:id="rId63" xr:uid="{DB276860-401E-48C4-B07C-F360393C6326}"/>
    <hyperlink ref="J66" r:id="rId64" xr:uid="{8F2CEB88-6909-4BF9-BDF8-3F0FF461CE4A}"/>
    <hyperlink ref="J67" r:id="rId65" xr:uid="{96BC1696-9D3C-4B9A-8EAA-3526B970C425}"/>
    <hyperlink ref="J68" r:id="rId66" xr:uid="{DE354241-B7FB-49AC-8B0C-B7091A7EA41C}"/>
    <hyperlink ref="J69" r:id="rId67" xr:uid="{5DD5525F-25F8-4563-BA4E-B933B2CE0B2D}"/>
    <hyperlink ref="J70" r:id="rId68" xr:uid="{AC30ECF7-D4BB-4A64-81B1-45C8AF0DB92A}"/>
    <hyperlink ref="J71" r:id="rId69" xr:uid="{2C120F00-0C30-4770-9883-BDDFA3E8A15A}"/>
    <hyperlink ref="J72" r:id="rId70" xr:uid="{1925F2E9-2111-4383-A8B0-8102984C6861}"/>
    <hyperlink ref="J73" r:id="rId71" xr:uid="{C8F9A83B-E953-418B-B694-5DDEB202C9AD}"/>
    <hyperlink ref="J74" r:id="rId72" xr:uid="{7600A69C-E29C-4ED7-9E1A-EC8259A577F8}"/>
    <hyperlink ref="J75" r:id="rId73" xr:uid="{8EB52A47-1874-4943-A47C-308E38909F9F}"/>
    <hyperlink ref="J76" r:id="rId74" xr:uid="{03C9B84D-7242-46DE-BECD-8B88D9D75878}"/>
    <hyperlink ref="J77" r:id="rId75" xr:uid="{120597C6-FD29-40EB-BEDA-1A8A0F6E03D0}"/>
    <hyperlink ref="J78" r:id="rId76" xr:uid="{2268F734-45DF-4AA4-8203-B03D385B0E77}"/>
    <hyperlink ref="J79" r:id="rId77" xr:uid="{141E1E58-A5BD-4C60-82E8-AE892B1F2C90}"/>
    <hyperlink ref="J80" r:id="rId78" xr:uid="{F28D4A78-B929-4BDD-8D4E-A6D1FE9F2974}"/>
    <hyperlink ref="J81" r:id="rId79" xr:uid="{B86AC1D5-9FAB-4F9A-A090-C81C1FCAF83B}"/>
    <hyperlink ref="J82" r:id="rId80" xr:uid="{5D72374B-D8EC-40BF-9417-FFDCDC0C1443}"/>
    <hyperlink ref="J83" r:id="rId81" xr:uid="{8808E1BD-1FE3-4642-8E67-A621014F978F}"/>
    <hyperlink ref="J84" r:id="rId82" xr:uid="{7F2BA7A7-281E-4142-887F-3AB4BB778B4D}"/>
    <hyperlink ref="J85" r:id="rId83" xr:uid="{D14D09EB-8171-479C-91E7-CFC2517946BE}"/>
    <hyperlink ref="J86" r:id="rId84" xr:uid="{445DC4DC-45E7-4327-AAD2-BDCB5B69C696}"/>
    <hyperlink ref="J87" r:id="rId85" xr:uid="{F248A8BD-42D7-402C-9304-A2F758286306}"/>
    <hyperlink ref="J88" r:id="rId86" xr:uid="{E663BEFB-934B-4F21-BA48-A7DD19C6F1AE}"/>
    <hyperlink ref="J89" r:id="rId87" xr:uid="{A831DA31-2A93-45B0-B61A-A946E7A8CFD1}"/>
    <hyperlink ref="J90" r:id="rId88" xr:uid="{5AA75BA7-F099-4689-A83C-332322CF210F}"/>
    <hyperlink ref="J91" r:id="rId89" xr:uid="{1BE4CA8D-81E4-457D-8B19-7AD9F521F31A}"/>
    <hyperlink ref="J92" r:id="rId90" xr:uid="{EE6B9F3B-C89A-44F4-88B5-B9CBAC8B8AA4}"/>
    <hyperlink ref="J93" r:id="rId91" xr:uid="{34B67B93-44D5-4494-BC2E-7006348285A1}"/>
    <hyperlink ref="J94" r:id="rId92" xr:uid="{8A4B8E91-DE1D-49D5-90CE-0CFAA71356E2}"/>
    <hyperlink ref="J95" r:id="rId93" xr:uid="{83EFC54C-7A91-49F7-AC3A-73B5112DABE5}"/>
    <hyperlink ref="J96" r:id="rId94" xr:uid="{D006E4C0-BC12-41FA-A0B1-6E0604AE380D}"/>
    <hyperlink ref="J97" r:id="rId95" xr:uid="{109FF4FB-C00E-44D3-8188-8EB943E5FC35}"/>
    <hyperlink ref="J98" r:id="rId96" xr:uid="{F7AC3B1A-9DB4-40D7-9DAE-5E32B5516764}"/>
    <hyperlink ref="J99" r:id="rId97" xr:uid="{ED703336-7DAA-4EA0-96B6-9A7A18A35600}"/>
    <hyperlink ref="J100" r:id="rId98" xr:uid="{0D6AF129-6818-47F0-81B3-4153788481EA}"/>
    <hyperlink ref="J101" r:id="rId99" xr:uid="{B9C63D96-F6CC-475D-A95F-388AAEEA41B0}"/>
    <hyperlink ref="J102" r:id="rId100" xr:uid="{7E1433FD-AB3F-4943-B77B-3BED07BA9010}"/>
    <hyperlink ref="J103" r:id="rId101" xr:uid="{2466E26F-CF9F-4EF4-86A5-AB733F80813B}"/>
    <hyperlink ref="J104" r:id="rId102" xr:uid="{B614DCDF-B33A-4FF2-8220-A95530EC1D3D}"/>
    <hyperlink ref="J105" r:id="rId103" xr:uid="{857F5E07-C679-4413-9009-3A9048762A7A}"/>
    <hyperlink ref="J106" r:id="rId104" xr:uid="{D7D718C1-52D9-4B02-A438-635328C3359F}"/>
    <hyperlink ref="J107" r:id="rId105" xr:uid="{E873D9CF-F80A-443F-833E-0DB070FDF467}"/>
    <hyperlink ref="J108" r:id="rId106" xr:uid="{A6B44372-F1FE-4712-852B-83CE9FEA970D}"/>
    <hyperlink ref="J109" r:id="rId107" xr:uid="{73D6E95E-41CC-4303-AA0D-6FA647C5C8D8}"/>
    <hyperlink ref="J110" r:id="rId108" xr:uid="{C074EB9D-8DF7-4771-8A01-7DFA1B744090}"/>
    <hyperlink ref="J111" r:id="rId109" xr:uid="{3E47D406-BAFC-4B55-925C-68CE3051FB19}"/>
    <hyperlink ref="J112" r:id="rId110" xr:uid="{4CCE141B-517F-49D0-A8D5-73C4AEAFD9E6}"/>
    <hyperlink ref="J113" r:id="rId111" xr:uid="{665A693D-9B46-4C59-A5D3-11DE8B6887DF}"/>
    <hyperlink ref="J114" r:id="rId112" xr:uid="{9839B001-5623-41DC-92CE-710DD91A3C51}"/>
    <hyperlink ref="J115" r:id="rId113" xr:uid="{1CA98B90-CE98-478A-A19A-CEEB683E7220}"/>
    <hyperlink ref="J116" r:id="rId114" xr:uid="{F427A97C-629C-44B6-A396-F18D55B4A99B}"/>
    <hyperlink ref="J117" r:id="rId115" xr:uid="{403E4C24-3BE2-477E-A103-B062D4BC5AEE}"/>
    <hyperlink ref="J118" r:id="rId116" xr:uid="{28352B9F-5FF5-4875-A15A-35E2AFFAF1CB}"/>
    <hyperlink ref="J119" r:id="rId117" xr:uid="{CB35EE9D-7AB2-45C1-B2B4-7A14805014FD}"/>
    <hyperlink ref="J120" r:id="rId118" xr:uid="{941BD9FB-2C65-411B-87AA-6E11C2B1463C}"/>
    <hyperlink ref="J121" r:id="rId119" xr:uid="{4BF8A0FD-5124-44AB-B70F-4FEFB6292DEA}"/>
    <hyperlink ref="J122" r:id="rId120" xr:uid="{74ECC205-0CDB-4E26-8607-55E904EA544D}"/>
    <hyperlink ref="J123" r:id="rId121" xr:uid="{60FA67F1-3CC6-471C-99F6-0CF55937317C}"/>
    <hyperlink ref="J124" r:id="rId122" xr:uid="{B08C5E95-6FE7-4C0E-B673-A7BB23B49912}"/>
    <hyperlink ref="J125" r:id="rId123" xr:uid="{99C154A2-873D-4050-AFA1-4C723991DA8A}"/>
    <hyperlink ref="J126" r:id="rId124" xr:uid="{C74DB1AC-C006-4F05-9A98-76BEC7E15C1B}"/>
    <hyperlink ref="J127" r:id="rId125" xr:uid="{05C3DAD8-3141-4C76-922A-4ED9C72C77B8}"/>
    <hyperlink ref="J128" r:id="rId126" xr:uid="{C2FB6B97-376A-4475-8B6D-E0021CC53E38}"/>
    <hyperlink ref="J129" r:id="rId127" xr:uid="{FF452FAE-6F98-439B-A5FF-5C6602CF3D7A}"/>
    <hyperlink ref="J130" r:id="rId128" xr:uid="{2B325A6E-C107-4848-96F4-B88C5BD0F1E0}"/>
    <hyperlink ref="J131" r:id="rId129" xr:uid="{2B786069-42D5-41F0-AC4E-D7C855EE5310}"/>
    <hyperlink ref="J132" r:id="rId130" xr:uid="{5FCC9438-45DC-401D-A66A-80D6C707B457}"/>
    <hyperlink ref="J133" r:id="rId131" xr:uid="{4125CA38-1EF6-4D1B-A9C0-E297E9834D84}"/>
    <hyperlink ref="J134" r:id="rId132" xr:uid="{68C030F3-6C1B-4E59-8155-F9BF61EA71E3}"/>
    <hyperlink ref="J135" r:id="rId133" xr:uid="{9A43ECF6-EA97-45D0-9D99-6FDDEA5E51FE}"/>
    <hyperlink ref="J136" r:id="rId134" xr:uid="{B0529563-EF5F-41E7-ABC4-F7C197FC9C3C}"/>
    <hyperlink ref="J137" r:id="rId135" xr:uid="{4036EF64-64F4-41E9-8350-D925DF7F6F1C}"/>
    <hyperlink ref="J138" r:id="rId136" xr:uid="{92DA5F85-ACE7-42AC-BB12-45C91E27F824}"/>
    <hyperlink ref="J139" r:id="rId137" xr:uid="{D0AB42C0-F8DA-4E99-AC2D-80DBF0A38491}"/>
    <hyperlink ref="J140" r:id="rId138" xr:uid="{03B5D7EA-B6EE-451B-BDBA-C3913B359BD4}"/>
    <hyperlink ref="J141" r:id="rId139" xr:uid="{26147255-950D-420B-9FE0-D838D481B5F0}"/>
    <hyperlink ref="J142" r:id="rId140" xr:uid="{87788E5F-D3DB-4128-B285-AFAFB8DEADD7}"/>
    <hyperlink ref="J143" r:id="rId141" xr:uid="{43339A6B-F604-48A6-AD06-B43041480988}"/>
    <hyperlink ref="J144" r:id="rId142" xr:uid="{75FF06ED-C7BF-47DF-B5F1-C53D944E6DEF}"/>
    <hyperlink ref="J145" r:id="rId143" xr:uid="{270C8156-0DC9-4777-AFEF-E8C07282A5F4}"/>
    <hyperlink ref="J146" r:id="rId144" xr:uid="{A16A5934-255B-4189-A43F-E57FDA91B36F}"/>
    <hyperlink ref="J147" r:id="rId145" xr:uid="{CAA2055E-FE54-46D8-806B-3E1D0A18EFFB}"/>
    <hyperlink ref="J148" r:id="rId146" xr:uid="{8A8EC0B9-4D91-45BF-B48C-18406FD25C53}"/>
    <hyperlink ref="J149" r:id="rId147" xr:uid="{E361C257-9BC0-4287-8512-00E8A4D9927B}"/>
    <hyperlink ref="J150" r:id="rId148" xr:uid="{C358571B-CEC4-4C1B-A22A-E46E7B9429DC}"/>
    <hyperlink ref="J151" r:id="rId149" xr:uid="{BC41F2FA-3B15-4387-8D64-308462897E5B}"/>
    <hyperlink ref="J152" r:id="rId150" xr:uid="{2C4B1CE4-CD80-45AE-8521-6C41C12DF2D6}"/>
    <hyperlink ref="J153" r:id="rId151" xr:uid="{35B88AB7-08D6-46EC-A18E-25AE75E0C62D}"/>
    <hyperlink ref="J154" r:id="rId152" xr:uid="{444DF8BC-7030-4E90-8D55-B99790D00738}"/>
    <hyperlink ref="J155" r:id="rId153" xr:uid="{F6A644DF-0398-4725-AC2B-534D5146CD7F}"/>
    <hyperlink ref="J156" r:id="rId154" xr:uid="{772A3B8E-7A4E-440D-A37A-C55333C526A1}"/>
    <hyperlink ref="J157" r:id="rId155" xr:uid="{2EA239F2-F281-4D6D-ADF5-A390A011ED12}"/>
    <hyperlink ref="J158" r:id="rId156" xr:uid="{14F0B74F-9489-4184-800D-FCE35D93E623}"/>
    <hyperlink ref="J159" r:id="rId157" xr:uid="{5302B501-19CC-499F-A393-6E5C79834D38}"/>
    <hyperlink ref="J160" r:id="rId158" xr:uid="{A5767A3C-4B17-4DE8-9F2F-7FC69283E3A9}"/>
    <hyperlink ref="J161" r:id="rId159" xr:uid="{6FA4F233-B493-442B-AD0B-D3259C5864D8}"/>
    <hyperlink ref="J162" r:id="rId160" xr:uid="{55C763E6-B502-4BFB-8927-C900E30B5BEA}"/>
    <hyperlink ref="J163" r:id="rId161" xr:uid="{E47E1DD6-D284-423A-B0F2-03C41987387E}"/>
    <hyperlink ref="J164" r:id="rId162" xr:uid="{AA417B01-8952-474A-BBFF-61AD87FD970F}"/>
    <hyperlink ref="J165" r:id="rId163" xr:uid="{BE6DEFE2-EED2-47CA-905F-DD1DB0587806}"/>
    <hyperlink ref="J166" r:id="rId164" xr:uid="{318082A8-75A9-4260-8FFB-16D0BCC575CC}"/>
    <hyperlink ref="J167" r:id="rId165" xr:uid="{D89FE085-60DA-4BD1-B942-6B1E29AAC04B}"/>
    <hyperlink ref="J168" r:id="rId166" xr:uid="{6EA415D3-6472-4B41-9ABD-16D545FD5855}"/>
    <hyperlink ref="J169" r:id="rId167" xr:uid="{B8FF266D-E657-4823-B3CD-EA2CC9DD8609}"/>
    <hyperlink ref="J170" r:id="rId168" xr:uid="{67F8C749-B50C-431F-8282-3D1337F14D77}"/>
    <hyperlink ref="J171" r:id="rId169" xr:uid="{E4C1F3F5-D32B-473E-B70B-7ECDE99DE074}"/>
    <hyperlink ref="J172" r:id="rId170" xr:uid="{D4472CE9-E94B-4EFA-A974-10BB742308C2}"/>
    <hyperlink ref="J173" r:id="rId171" xr:uid="{FE8AB565-8E94-472E-9FB6-8545CB59356F}"/>
    <hyperlink ref="J174" r:id="rId172" xr:uid="{5DDBC427-BC1C-4869-B5E9-988EB2B907D2}"/>
    <hyperlink ref="J175" r:id="rId173" xr:uid="{F2184611-C071-4EAD-8604-5CEE04EB8A9D}"/>
    <hyperlink ref="J176" r:id="rId174" xr:uid="{DA7850AF-0499-42F2-A89D-64B23D2FEA3B}"/>
    <hyperlink ref="J177" r:id="rId175" xr:uid="{56F7790F-B3DE-4A05-BC9B-B5AC0AF806C3}"/>
    <hyperlink ref="J178" r:id="rId176" xr:uid="{5317638B-14E7-47D6-B546-FE28990953BE}"/>
    <hyperlink ref="J179" r:id="rId177" xr:uid="{FF9F86E3-D6FC-41E7-B8FF-D56C7920970B}"/>
    <hyperlink ref="J180" r:id="rId178" xr:uid="{8A397E69-93FF-471B-9525-BE4FF79ED2E1}"/>
    <hyperlink ref="J181" r:id="rId179" xr:uid="{EE9F1E21-8C88-4DA7-9793-950FF11B2F99}"/>
    <hyperlink ref="J182" r:id="rId180" xr:uid="{D6BDCEA9-66DB-46ED-97FB-5D3AABC3895A}"/>
    <hyperlink ref="J183" r:id="rId181" xr:uid="{9EB71181-CF8A-41FB-8C2C-FE312C411BBF}"/>
    <hyperlink ref="J184" r:id="rId182" xr:uid="{F1D6F588-AC52-49CC-A6AB-CB6149E2AB4C}"/>
    <hyperlink ref="J185" r:id="rId183" xr:uid="{A30D9606-B855-42EB-B985-1A95FEF7DF49}"/>
    <hyperlink ref="J186" r:id="rId184" xr:uid="{BC7F25F9-2A91-4FDC-ABD7-A7DF18ADA54E}"/>
    <hyperlink ref="J187" r:id="rId185" xr:uid="{6A87268C-3A71-433B-A843-9E05F8C230D5}"/>
    <hyperlink ref="J188" r:id="rId186" xr:uid="{6FCE666B-E003-4735-A9FD-70C2CD305C1B}"/>
    <hyperlink ref="J189" r:id="rId187" xr:uid="{59C1B0A2-40E8-420D-A232-7D59762DB2B9}"/>
    <hyperlink ref="J190" r:id="rId188" xr:uid="{F2FD05B1-B9D3-42FC-9EDB-E94E10A717FB}"/>
    <hyperlink ref="J191" r:id="rId189" xr:uid="{DF4FB18C-29F1-4004-AA2E-6A4CF03CB779}"/>
    <hyperlink ref="J192" r:id="rId190" xr:uid="{70C2A3B7-07A4-4842-97DD-31606F6D3AE6}"/>
    <hyperlink ref="J193" r:id="rId191" xr:uid="{1FE8BE96-72E4-40DD-AA13-191F615CC5B5}"/>
    <hyperlink ref="J194" r:id="rId192" xr:uid="{D5F6DCC8-560E-48E9-B191-F0598B8D87B9}"/>
    <hyperlink ref="J195" r:id="rId193" xr:uid="{D6E22342-CEA1-4FC6-B87C-1D5ED4D93543}"/>
    <hyperlink ref="J196" r:id="rId194" xr:uid="{E6A6148A-105B-4224-A876-5F782D75E7DC}"/>
    <hyperlink ref="J197" r:id="rId195" xr:uid="{63E92894-5788-42AD-A23F-4964E0F4E1C1}"/>
    <hyperlink ref="J198" r:id="rId196" xr:uid="{B87BE370-5771-4B87-84CD-8F16622D0489}"/>
    <hyperlink ref="J199" r:id="rId197" xr:uid="{31162402-9F59-4134-B44A-F02226C8A035}"/>
    <hyperlink ref="J200" r:id="rId198" xr:uid="{22395D8E-94BA-4163-B158-57F39B50896C}"/>
    <hyperlink ref="J201" r:id="rId199" xr:uid="{F5C1BB9B-C6FA-407D-A386-4D88759D165E}"/>
    <hyperlink ref="J202" r:id="rId200" xr:uid="{B15E9143-BA38-4F78-9035-F397232049BC}"/>
    <hyperlink ref="J203" r:id="rId201" xr:uid="{AE863A9D-6A85-4E10-83C6-A334CEA85625}"/>
    <hyperlink ref="J204" r:id="rId202" xr:uid="{A022B8E2-F04E-4DB2-B97C-34848C3638AC}"/>
    <hyperlink ref="J205" r:id="rId203" xr:uid="{90555CA1-A1FF-4BF4-9D7A-ED17760A1C2D}"/>
    <hyperlink ref="J206" r:id="rId204" xr:uid="{557133E7-3154-41E2-A5F4-57D79E57ED62}"/>
    <hyperlink ref="J207" r:id="rId205" xr:uid="{20E4B7CB-F62C-47A0-B6D9-CD355ED75846}"/>
    <hyperlink ref="J208" r:id="rId206" xr:uid="{9B41278C-11DB-4909-A0D0-AC7F700E491B}"/>
    <hyperlink ref="J209" r:id="rId207" xr:uid="{4DB70989-29CC-4BB5-A496-EDFF47183867}"/>
    <hyperlink ref="J210" r:id="rId208" xr:uid="{2F4B66EF-633D-415F-99D8-DABF75C4D770}"/>
    <hyperlink ref="J211" r:id="rId209" xr:uid="{A5833043-2324-41DD-843B-8A31CE2AA034}"/>
    <hyperlink ref="J212" r:id="rId210" xr:uid="{606C7166-3656-49D0-A7B0-FBB3F9B07298}"/>
    <hyperlink ref="J213" r:id="rId211" xr:uid="{E47F5BA1-9552-4DF2-8C73-DBE8A1A37D24}"/>
    <hyperlink ref="J214" r:id="rId212" xr:uid="{415BDBC8-C25F-426D-BFD0-619F46D1091B}"/>
    <hyperlink ref="J215" r:id="rId213" xr:uid="{C9B18AD2-7475-4887-88AE-FDEF0A365B9B}"/>
    <hyperlink ref="J216" r:id="rId214" xr:uid="{C51C72F9-0A65-4D72-9445-AB62B1EDE130}"/>
    <hyperlink ref="J217" r:id="rId215" xr:uid="{A2E8003D-6E4E-4347-A4C1-CBAAB69B0AF9}"/>
    <hyperlink ref="J218" r:id="rId216" xr:uid="{866A0DE0-5F9C-4CDF-89BA-AF16951076EE}"/>
    <hyperlink ref="J219" r:id="rId217" xr:uid="{87B19E5E-231F-44A6-9230-B62B84CE9F61}"/>
    <hyperlink ref="J220" r:id="rId218" xr:uid="{37548CCF-DA85-4581-BC4C-B3EF9D337C17}"/>
    <hyperlink ref="J221" r:id="rId219" xr:uid="{CDAFEF97-7FAF-4A03-A826-F94B3EBAE8D1}"/>
    <hyperlink ref="J222" r:id="rId220" xr:uid="{F4991096-5259-4F5A-BD52-CF1B50003696}"/>
    <hyperlink ref="J223" r:id="rId221" xr:uid="{A855E9A7-C37C-4E20-995F-316B326CBD7F}"/>
    <hyperlink ref="J224" r:id="rId222" xr:uid="{B0727C9A-1B33-4DDA-9204-14F94BC22679}"/>
    <hyperlink ref="J225" r:id="rId223" xr:uid="{DD15278F-3767-4B27-9DFA-77269A817140}"/>
    <hyperlink ref="J226" r:id="rId224" xr:uid="{CE45D76F-FC85-450A-95D4-D01DC844F196}"/>
    <hyperlink ref="J227" r:id="rId225" xr:uid="{F06D5908-CB19-4FAD-BC37-2819B58B4B8F}"/>
    <hyperlink ref="J228" r:id="rId226" xr:uid="{D0DD9A80-8186-4245-9108-C649BC830FE6}"/>
    <hyperlink ref="J229" r:id="rId227" xr:uid="{E17E4148-FB98-4167-B57E-44176FAD9EC8}"/>
    <hyperlink ref="J230" r:id="rId228" xr:uid="{BDF36B8D-D8F2-4F67-96F6-912C96956A0B}"/>
    <hyperlink ref="J231" r:id="rId229" xr:uid="{4CA42A6A-B4BD-4E37-83B2-D553C7275DCB}"/>
    <hyperlink ref="J232" r:id="rId230" xr:uid="{F353B976-DFD9-4E8F-BD3A-2178F28261A2}"/>
    <hyperlink ref="J233" r:id="rId231" xr:uid="{B5717946-DBD6-4778-AA7D-6A259197BE10}"/>
    <hyperlink ref="J234" r:id="rId232" xr:uid="{CD5CD800-A881-4C31-A02E-9C086468CE6A}"/>
    <hyperlink ref="J235" r:id="rId233" xr:uid="{160EE004-E527-42C8-B36B-F0616CE6E507}"/>
    <hyperlink ref="J236" r:id="rId234" xr:uid="{B0AD30FB-AB35-4441-B818-5BA97100FAC0}"/>
    <hyperlink ref="J237" r:id="rId235" xr:uid="{4372EC86-464F-470D-B653-F1E0F561CA99}"/>
    <hyperlink ref="J238" r:id="rId236" xr:uid="{A5F53004-AB3A-46C2-B694-643C718B0A68}"/>
    <hyperlink ref="J239" r:id="rId237" xr:uid="{8C33842D-A7B2-4268-A875-93E178EC6126}"/>
    <hyperlink ref="J240" r:id="rId238" xr:uid="{F332C009-BEAA-43E9-BF83-8B3EFE95D024}"/>
    <hyperlink ref="J241" r:id="rId239" xr:uid="{CFC514DF-385D-4E71-A6B2-E12B4176FBB1}"/>
    <hyperlink ref="J242" r:id="rId240" xr:uid="{271B4C5D-9BBD-48B6-9B75-F0652196D8A9}"/>
    <hyperlink ref="J243" r:id="rId241" xr:uid="{050217E8-6369-4ED1-AF0C-C65AC0A55FE7}"/>
    <hyperlink ref="J244" r:id="rId242" xr:uid="{8F4CDCD1-58C5-44B0-ACA1-3F9F7BE8A23F}"/>
    <hyperlink ref="J245" r:id="rId243" xr:uid="{35044C95-5FD4-46BF-9632-CC7A11A2BDCF}"/>
    <hyperlink ref="J246" r:id="rId244" xr:uid="{10BC9A5E-98CD-47E7-B7A7-66B355E950E8}"/>
    <hyperlink ref="J247" r:id="rId245" xr:uid="{2322470A-A919-4608-8469-673C99326F70}"/>
    <hyperlink ref="J248" r:id="rId246" xr:uid="{F39541CD-1272-41F9-BD7C-0BDBABF2A707}"/>
    <hyperlink ref="J249" r:id="rId247" xr:uid="{62510CE5-0498-4AD7-BF97-C15BB35841C1}"/>
    <hyperlink ref="J250" r:id="rId248" xr:uid="{3E12476A-200E-42AE-A4F4-81E1390DA9D1}"/>
    <hyperlink ref="J251" r:id="rId249" xr:uid="{EE4D3F24-E897-4DE8-8B5D-DC141865E446}"/>
    <hyperlink ref="J252" r:id="rId250" xr:uid="{CC0B7BBD-6EE4-4059-9C4A-4BB34109C9F0}"/>
    <hyperlink ref="J253" r:id="rId251" xr:uid="{D9EF1DA9-EF83-4B15-9D08-1BD0B592FBED}"/>
    <hyperlink ref="J254" r:id="rId252" xr:uid="{709E79D3-1C3C-490B-8FE1-E1D2DCE5103A}"/>
    <hyperlink ref="J255" r:id="rId253" xr:uid="{270C5637-265D-4E45-8F70-1ACC328C558F}"/>
    <hyperlink ref="J256" r:id="rId254" xr:uid="{4E0A90DF-1B35-4634-8C78-7C5F72199F7D}"/>
    <hyperlink ref="J257" r:id="rId255" xr:uid="{54DA87E4-A959-4EC9-BBC8-4F800EF6D80F}"/>
    <hyperlink ref="J258" r:id="rId256" xr:uid="{83EDAE02-27EA-4B8D-92D0-3D73E59F6EF5}"/>
    <hyperlink ref="J259" r:id="rId257" xr:uid="{47B90576-708D-42AD-BFA8-0CC82BF1A9E1}"/>
    <hyperlink ref="J260" r:id="rId258" xr:uid="{859E49E4-ADF6-45FD-9FE3-E1AC887E77BA}"/>
    <hyperlink ref="J261" r:id="rId259" xr:uid="{C17DD3E8-A4AB-476B-8320-B56E09D9CC50}"/>
    <hyperlink ref="J262" r:id="rId260" xr:uid="{75180FCA-20F6-4CDE-972E-A628389D15D5}"/>
    <hyperlink ref="J263" r:id="rId261" xr:uid="{369466A2-EA8A-461F-AB2A-D2DCCF5EACE6}"/>
    <hyperlink ref="J264" r:id="rId262" xr:uid="{1D9DBC10-6D49-4ADE-804D-7E91347AEDFC}"/>
    <hyperlink ref="J265" r:id="rId263" xr:uid="{29539985-C14D-4A33-A13B-572DF1DE9CEC}"/>
    <hyperlink ref="J266" r:id="rId264" xr:uid="{C139B0CC-3F68-4A5C-92A2-D087C2B23C07}"/>
    <hyperlink ref="J267" r:id="rId265" xr:uid="{35C7B0EE-00CA-4F53-A96A-55588E8D8A73}"/>
    <hyperlink ref="J268" r:id="rId266" xr:uid="{4668D6ED-8822-40F8-8CA9-C1157801E014}"/>
    <hyperlink ref="J269" r:id="rId267" xr:uid="{8642A23C-E7E5-4FA4-A437-53460CF6D445}"/>
    <hyperlink ref="J270" r:id="rId268" xr:uid="{48A2EBB9-570B-4B7D-9FD0-867166546723}"/>
    <hyperlink ref="J271" r:id="rId269" xr:uid="{BE2E87F2-9E41-4678-BD4A-0D685C58CA47}"/>
    <hyperlink ref="J272" r:id="rId270" xr:uid="{AFF4EDA4-C7E7-4DDA-8F7A-4633413385DB}"/>
    <hyperlink ref="J273" r:id="rId271" xr:uid="{F52CAF8C-E0D7-4AE8-8C39-6728207FD5FB}"/>
    <hyperlink ref="J274" r:id="rId272" xr:uid="{73E764A4-658B-4867-B557-AE16FBA3FA40}"/>
    <hyperlink ref="J275" r:id="rId273" xr:uid="{E156EA4B-CB71-4D7A-B98F-636DA92050A0}"/>
    <hyperlink ref="J276" r:id="rId274" xr:uid="{A0F32829-BC75-4215-AF00-B15C4A98F285}"/>
    <hyperlink ref="J277" r:id="rId275" xr:uid="{1BC86101-84C4-4A6B-8A94-BFAFCDFDFD27}"/>
    <hyperlink ref="J278" r:id="rId276" xr:uid="{B98DE24D-2213-4584-9E81-FDAD18184A11}"/>
    <hyperlink ref="J279" r:id="rId277" xr:uid="{F28BC201-AAC1-448E-960F-93D77C521877}"/>
    <hyperlink ref="J280" r:id="rId278" xr:uid="{1D1019BE-7A3F-4062-9FA1-99A47AB5C355}"/>
    <hyperlink ref="J281" r:id="rId279" xr:uid="{4BA27959-0664-47BF-8FAA-D44589C4B871}"/>
    <hyperlink ref="J282" r:id="rId280" xr:uid="{A8BB991F-0112-4EFB-832C-4A7BC3770B89}"/>
    <hyperlink ref="J283" r:id="rId281" xr:uid="{966AC9A2-F8A3-47D6-9C80-33F893FAE39A}"/>
    <hyperlink ref="J284" r:id="rId282" xr:uid="{E5D3AC60-7468-4D2C-B416-C3875698A31D}"/>
    <hyperlink ref="J285" r:id="rId283" xr:uid="{103C96BD-F1C3-4269-828E-D916E1802C4A}"/>
    <hyperlink ref="J286" r:id="rId284" xr:uid="{8D066F43-D000-4580-8285-75CF472960DB}"/>
    <hyperlink ref="J287" r:id="rId285" xr:uid="{E5C2F5C4-963C-4C05-B1E4-31F1740EA178}"/>
    <hyperlink ref="J288" r:id="rId286" xr:uid="{19882D81-CFF1-4ACB-A548-FF024E231845}"/>
    <hyperlink ref="J289" r:id="rId287" xr:uid="{FB2201A0-2F30-44F3-8BF8-2E0ACADB3BE0}"/>
    <hyperlink ref="J290" r:id="rId288" xr:uid="{DE037B42-7152-4D5E-A954-A557865211F9}"/>
    <hyperlink ref="J291" r:id="rId289" xr:uid="{B7C59C2D-3373-420E-8725-B866AB36BBB3}"/>
    <hyperlink ref="J292" r:id="rId290" xr:uid="{FF325ABA-7A5F-48C9-B520-00E025BB2774}"/>
    <hyperlink ref="J293" r:id="rId291" xr:uid="{048CD20F-C1D5-4152-B3FC-84685105FCBC}"/>
    <hyperlink ref="J294" r:id="rId292" xr:uid="{DDA75D3B-6FC2-402B-8E0F-3506F9B1D49B}"/>
    <hyperlink ref="J295" r:id="rId293" xr:uid="{5F861878-5EF8-48E3-B5EF-CAE1445F39D0}"/>
    <hyperlink ref="J296" r:id="rId294" xr:uid="{FD939C59-AAE4-4845-8358-C1B48F73578A}"/>
    <hyperlink ref="J297" r:id="rId295" xr:uid="{F6816272-2285-4DEE-850F-B09C2B17C1EF}"/>
    <hyperlink ref="J298" r:id="rId296" xr:uid="{41FD0611-77FD-4F4B-A4F6-9590CE6C3C03}"/>
    <hyperlink ref="J299" r:id="rId297" xr:uid="{3629DFD8-B64D-479E-99F5-7B5CE0A3F7B6}"/>
    <hyperlink ref="J300" r:id="rId298" xr:uid="{F4F651EA-A807-4011-85C9-D1D82225D27C}"/>
    <hyperlink ref="J301" r:id="rId299" xr:uid="{65A71977-E3E9-4165-B80F-F415774CFD2B}"/>
    <hyperlink ref="J302" r:id="rId300" xr:uid="{1F06C59E-6EF8-4573-BF45-96505BC1A79F}"/>
    <hyperlink ref="J303" r:id="rId301" xr:uid="{D38AC24E-3C6F-4F4D-841B-44673D8D6C56}"/>
    <hyperlink ref="J304" r:id="rId302" xr:uid="{E0720A3F-6159-4602-A4FE-9478DAAEB654}"/>
    <hyperlink ref="J305" r:id="rId303" xr:uid="{75B33310-BA85-45AA-8B01-23D5A414672B}"/>
    <hyperlink ref="J306" r:id="rId304" xr:uid="{3B9B1E12-7960-4B3C-A6AE-6D2DCD926309}"/>
    <hyperlink ref="J307" r:id="rId305" xr:uid="{744E36AB-6828-4718-888B-DC14B83A92A4}"/>
    <hyperlink ref="J308" r:id="rId306" xr:uid="{76E68006-D188-419E-B701-4F4B9874762A}"/>
    <hyperlink ref="J309" r:id="rId307" xr:uid="{D6122CC8-C47D-451A-953E-DAE527CABFA1}"/>
    <hyperlink ref="J310" r:id="rId308" xr:uid="{F2A7C432-779A-4A54-9F04-4E043A2B8141}"/>
    <hyperlink ref="J311" r:id="rId309" xr:uid="{5297525D-4352-49CD-9E92-8355092B41F6}"/>
    <hyperlink ref="J312" r:id="rId310" xr:uid="{E77EB627-2404-45CF-96C9-37A4092B6BDC}"/>
    <hyperlink ref="J313" r:id="rId311" xr:uid="{0DEF8FD1-ACB8-4012-828D-DB0CB43A0B04}"/>
    <hyperlink ref="J314" r:id="rId312" xr:uid="{7D9A2DF3-0C79-4BCF-AA82-651E5496427E}"/>
    <hyperlink ref="J315" r:id="rId313" xr:uid="{1D54D584-6254-464F-9084-1A5132042405}"/>
    <hyperlink ref="J316" r:id="rId314" xr:uid="{564ED141-FC5A-4883-900A-E58F1F46ACAE}"/>
    <hyperlink ref="J317" r:id="rId315" xr:uid="{043108F2-A933-4EF9-92D0-5363D0760E8D}"/>
    <hyperlink ref="J318" r:id="rId316" xr:uid="{8824FDEA-69E8-40C5-A4DF-D593266A0C5D}"/>
    <hyperlink ref="J319" r:id="rId317" xr:uid="{DD793BF7-22BC-4AC9-ADCD-65C1E936F1A1}"/>
    <hyperlink ref="J320" r:id="rId318" xr:uid="{42FA9447-A1A9-40D8-9C01-0F2361C508F7}"/>
    <hyperlink ref="J321" r:id="rId319" xr:uid="{4B3D4D77-DF16-4311-AEC7-8FF4400516BD}"/>
    <hyperlink ref="J322" r:id="rId320" xr:uid="{73E19734-58CF-44A9-B093-0825ADBB5836}"/>
    <hyperlink ref="J323" r:id="rId321" xr:uid="{D35A586D-6397-4445-99FE-57FA08BA197F}"/>
    <hyperlink ref="J324" r:id="rId322" xr:uid="{2C7B031E-33FB-4C97-8EA4-DB49AEB0D1A7}"/>
    <hyperlink ref="J325" r:id="rId323" xr:uid="{0C4EB875-07EE-41AE-B638-FA875F84F43F}"/>
    <hyperlink ref="J326" r:id="rId324" xr:uid="{B4BB2EC1-28D9-4E4C-A90B-B3160F7D001F}"/>
    <hyperlink ref="J327" r:id="rId325" xr:uid="{C5838D4B-8D8B-446A-9351-381649AFA1BB}"/>
    <hyperlink ref="J328" r:id="rId326" xr:uid="{A335D6CA-3609-49B9-AAC8-BF9725DA51DB}"/>
    <hyperlink ref="J329" r:id="rId327" xr:uid="{6F5835FD-64F4-4C07-9D33-5EB4A3C6A995}"/>
    <hyperlink ref="J330" r:id="rId328" xr:uid="{E292B8B6-8529-4627-866C-697EDEB4780B}"/>
    <hyperlink ref="J331" r:id="rId329" xr:uid="{E330DF51-330B-4F2C-AD97-5A80CA73B129}"/>
    <hyperlink ref="J332" r:id="rId330" xr:uid="{4EB0D146-EE96-4B98-921F-26DB3425FC44}"/>
    <hyperlink ref="J333" r:id="rId331" xr:uid="{2053E363-55CB-4B60-8C85-7DAEEB0A834C}"/>
    <hyperlink ref="J334" r:id="rId332" xr:uid="{D81DD1AA-0ABC-4594-AF2E-5C3084D06A89}"/>
    <hyperlink ref="J335" r:id="rId333" xr:uid="{5DE4CDF8-6272-4C72-800F-BD1255F04413}"/>
    <hyperlink ref="J336" r:id="rId334" xr:uid="{18E24723-FD4D-40A6-B961-AB17D243D3DE}"/>
    <hyperlink ref="J337" r:id="rId335" xr:uid="{77FC50CF-9EFB-400E-97B4-E1625EC260EA}"/>
    <hyperlink ref="J338" r:id="rId336" xr:uid="{53C2A052-AEA8-42DE-BABC-6FBCF271D042}"/>
    <hyperlink ref="J339" r:id="rId337" xr:uid="{76F4CB8F-0CF0-4592-BFEA-5C4D9B30D2BC}"/>
    <hyperlink ref="J340" r:id="rId338" xr:uid="{63F87404-099A-49F9-80F1-742DDAC39AFD}"/>
    <hyperlink ref="J341" r:id="rId339" xr:uid="{3CF6E8BB-C9C4-4ED3-B4D3-BE3A6B5814FB}"/>
    <hyperlink ref="J342" r:id="rId340" xr:uid="{C6028E8E-0257-4F90-B249-578E8D9FA31A}"/>
    <hyperlink ref="J343" r:id="rId341" xr:uid="{6D43BB29-29A8-42B3-A0D2-8E6C82C8B4C3}"/>
  </hyperlinks>
  <pageMargins left="0.7" right="0.7" top="0.75" bottom="0.75" header="0.3" footer="0.3"/>
  <drawing r:id="rId34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2022-02-14T05:31:02Z</dcterms:created>
  <dcterms:modified xsi:type="dcterms:W3CDTF">2024-03-25T07:09:15Z</dcterms:modified>
</cp:coreProperties>
</file>